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9889\Desktop\баннер 2\"/>
    </mc:Choice>
  </mc:AlternateContent>
  <bookViews>
    <workbookView xWindow="-105" yWindow="-105" windowWidth="23250" windowHeight="12450" tabRatio="836" firstSheet="4" activeTab="7"/>
  </bookViews>
  <sheets>
    <sheet name="Оглавление" sheetId="17" r:id="rId1"/>
    <sheet name="Шаг 1. Основные исходные данные" sheetId="33" r:id="rId2"/>
    <sheet name="Шаг 2. Информационные" sheetId="54" r:id="rId3"/>
    <sheet name="Шаг 3. Содержательные" sheetId="55" r:id="rId4"/>
    <sheet name="Шаг 4. Издержки простоя, НП" sheetId="56" r:id="rId5"/>
    <sheet name="Шаг 5. Альтернативные" sheetId="37" r:id="rId6"/>
    <sheet name="Dict" sheetId="13" state="hidden" r:id="rId7"/>
    <sheet name="Приложение № 1 к св. отчету" sheetId="57" r:id="rId8"/>
    <sheet name="Дополнительные расчеты" sheetId="38" r:id="rId9"/>
    <sheet name="Сводные результаты оценки" sheetId="32" r:id="rId10"/>
    <sheet name="Выгрузка в сводный отчет" sheetId="53" state="hidden" r:id="rId11"/>
    <sheet name="DEPR Выгрузка в сводный отчет" sheetId="39" state="hidden" r:id="rId12"/>
    <sheet name="С0.Справочник типовых оценок" sheetId="40" state="hidden" r:id="rId13"/>
    <sheet name="С1.Типовые операции" sheetId="41" state="hidden" r:id="rId14"/>
    <sheet name="С2.Средняя стоимость часа" sheetId="42" state="hidden" r:id="rId15"/>
    <sheet name="С3.Оборудование - норматив срок" sheetId="43" state="hidden" r:id="rId16"/>
    <sheet name="С4.Оборудование - цены" sheetId="44" state="hidden" r:id="rId17"/>
    <sheet name="С5.Оборудование - обслуживание" sheetId="45" state="hidden" r:id="rId18"/>
    <sheet name="С6.Работы - цена" sheetId="46" state="hidden" r:id="rId19"/>
    <sheet name="С7.Объекты - кол-во всего" sheetId="47" state="hidden" r:id="rId20"/>
    <sheet name="В1.Группы действий" sheetId="48" state="hidden" r:id="rId21"/>
    <sheet name="В2.Расчет стоимости часа" sheetId="49" state="hidden" r:id="rId22"/>
    <sheet name="В3.Группы оборудования" sheetId="50" state="hidden" r:id="rId23"/>
    <sheet name="В4.Группы работ услуг" sheetId="51" state="hidden" r:id="rId24"/>
    <sheet name="B5.Сферы объектов" sheetId="52" state="hidden" r:id="rId25"/>
    <sheet name="Шаг 2. Типы издержек" sheetId="2" state="hidden" r:id="rId26"/>
  </sheets>
  <definedNames>
    <definedName name="_xlnm._FilterDatabase" localSheetId="12" hidden="1">'С0.Справочник типовых оценок'!$A$4:$AE$149</definedName>
    <definedName name="_xlnm._FilterDatabase" localSheetId="14" hidden="1">'С2.Средняя стоимость часа'!$A$3:$G$3</definedName>
    <definedName name="_xlnm._FilterDatabase" localSheetId="15" hidden="1">'С3.Оборудование - норматив срок'!$A$3:$E$3</definedName>
    <definedName name="_xlnm._FilterDatabase" localSheetId="18" hidden="1">'С6.Работы - цена'!$A$3:$F$3</definedName>
    <definedName name="_xlnm._FilterDatabase" localSheetId="19" hidden="1">'С7.Объекты - кол-во всего'!$A$3:$F$3</definedName>
    <definedName name="sub_21001" localSheetId="7">'Приложение № 1 к св. отчету'!$A$1</definedName>
    <definedName name="Размещение_информации_об_организации__продукции__услугах" localSheetId="13">'С1.Типовые операции'!$D$4:$D$9</definedName>
    <definedName name="Размещение_информации_по_пожарной_безопасности" localSheetId="13">'С1.Типовые операции'!$D$10:$D$13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 i="57" l="1"/>
  <c r="J4" i="57"/>
  <c r="X17" i="55" l="1"/>
  <c r="Y17" i="55"/>
  <c r="Y18" i="55" s="1"/>
  <c r="Z17" i="55"/>
  <c r="AA17" i="55"/>
  <c r="AB17" i="55"/>
  <c r="AC17" i="55"/>
  <c r="X26" i="55"/>
  <c r="X27" i="55"/>
  <c r="X28" i="55"/>
  <c r="X29" i="55"/>
  <c r="X30" i="55"/>
  <c r="X36" i="55"/>
  <c r="X37" i="55"/>
  <c r="X38" i="55"/>
  <c r="X39" i="55"/>
  <c r="X40" i="55"/>
  <c r="X50" i="55"/>
  <c r="X55" i="55" s="1"/>
  <c r="X51" i="55"/>
  <c r="X52" i="55"/>
  <c r="X53" i="55"/>
  <c r="X54" i="55"/>
  <c r="X60" i="55"/>
  <c r="X65" i="55" s="1"/>
  <c r="X61" i="55"/>
  <c r="X62" i="55"/>
  <c r="X63" i="55"/>
  <c r="X64" i="55"/>
  <c r="X74" i="55"/>
  <c r="X79" i="55" s="1"/>
  <c r="X75" i="55"/>
  <c r="X76" i="55"/>
  <c r="X77" i="55"/>
  <c r="X78" i="55"/>
  <c r="X84" i="55"/>
  <c r="X89" i="55" s="1"/>
  <c r="X85" i="55"/>
  <c r="X86" i="55"/>
  <c r="X87" i="55"/>
  <c r="X88" i="55"/>
  <c r="X98" i="55"/>
  <c r="X103" i="55" s="1"/>
  <c r="X99" i="55"/>
  <c r="X100" i="55"/>
  <c r="X101" i="55"/>
  <c r="X102" i="55"/>
  <c r="X108" i="55"/>
  <c r="X113" i="55" s="1"/>
  <c r="X109" i="55"/>
  <c r="X110" i="55"/>
  <c r="X111" i="55"/>
  <c r="X112" i="55"/>
  <c r="X122" i="55"/>
  <c r="X127" i="55" s="1"/>
  <c r="X123" i="55"/>
  <c r="X124" i="55"/>
  <c r="X125" i="55"/>
  <c r="X126" i="55"/>
  <c r="X132" i="55"/>
  <c r="X137" i="55" s="1"/>
  <c r="X133" i="55"/>
  <c r="X134" i="55"/>
  <c r="X135" i="55"/>
  <c r="X136" i="55"/>
  <c r="X17" i="54"/>
  <c r="Y17" i="54"/>
  <c r="Y18" i="54" s="1"/>
  <c r="Z17" i="54"/>
  <c r="AA17" i="54"/>
  <c r="AB17" i="54"/>
  <c r="AC17" i="54"/>
  <c r="X26" i="54"/>
  <c r="X27" i="54"/>
  <c r="X28" i="54"/>
  <c r="X29" i="54"/>
  <c r="X30" i="54"/>
  <c r="X36" i="54"/>
  <c r="X37" i="54"/>
  <c r="X38" i="54"/>
  <c r="X39" i="54"/>
  <c r="X40" i="54"/>
  <c r="X50" i="54"/>
  <c r="X55" i="54" s="1"/>
  <c r="X51" i="54"/>
  <c r="X52" i="54"/>
  <c r="X53" i="54"/>
  <c r="X54" i="54"/>
  <c r="X60" i="54"/>
  <c r="X65" i="54" s="1"/>
  <c r="X61" i="54"/>
  <c r="X62" i="54"/>
  <c r="X63" i="54"/>
  <c r="X64" i="54"/>
  <c r="X74" i="54"/>
  <c r="X79" i="54" s="1"/>
  <c r="X75" i="54"/>
  <c r="X76" i="54"/>
  <c r="X77" i="54"/>
  <c r="X78" i="54"/>
  <c r="X84" i="54"/>
  <c r="X89" i="54" s="1"/>
  <c r="X85" i="54"/>
  <c r="X86" i="54"/>
  <c r="X87" i="54"/>
  <c r="X88" i="54"/>
  <c r="X98" i="54"/>
  <c r="X103" i="54" s="1"/>
  <c r="X99" i="54"/>
  <c r="X100" i="54"/>
  <c r="X101" i="54"/>
  <c r="X102" i="54"/>
  <c r="X108" i="54"/>
  <c r="X113" i="54" s="1"/>
  <c r="X109" i="54"/>
  <c r="X110" i="54"/>
  <c r="X111" i="54"/>
  <c r="X112" i="54"/>
  <c r="X122" i="54"/>
  <c r="X127" i="54" s="1"/>
  <c r="X123" i="54"/>
  <c r="X124" i="54"/>
  <c r="X125" i="54"/>
  <c r="X126" i="54"/>
  <c r="X132" i="54"/>
  <c r="X137" i="54" s="1"/>
  <c r="X133" i="54"/>
  <c r="X134" i="54"/>
  <c r="X135" i="54"/>
  <c r="X136" i="54"/>
  <c r="X31" i="54" l="1"/>
  <c r="X9" i="54" s="1"/>
  <c r="X11" i="54" s="1"/>
  <c r="X41" i="54"/>
  <c r="X10" i="54" s="1"/>
  <c r="X41" i="55"/>
  <c r="X10" i="55" s="1"/>
  <c r="X31" i="55"/>
  <c r="X9" i="55"/>
  <c r="Z18" i="55"/>
  <c r="Y37" i="55"/>
  <c r="Y39" i="55"/>
  <c r="Y61" i="55"/>
  <c r="Y63" i="55"/>
  <c r="Y85" i="55"/>
  <c r="Y87" i="55"/>
  <c r="Y109" i="55"/>
  <c r="Y111" i="55"/>
  <c r="Y133" i="55"/>
  <c r="Y135" i="55"/>
  <c r="Y36" i="55"/>
  <c r="Y38" i="55"/>
  <c r="Y40" i="55"/>
  <c r="Y60" i="55"/>
  <c r="Y65" i="55" s="1"/>
  <c r="Y62" i="55"/>
  <c r="Y64" i="55"/>
  <c r="Y84" i="55"/>
  <c r="Y86" i="55"/>
  <c r="Y88" i="55"/>
  <c r="Y108" i="55"/>
  <c r="Y110" i="55"/>
  <c r="Y112" i="55"/>
  <c r="Y132" i="55"/>
  <c r="Y134" i="55"/>
  <c r="Y136" i="55"/>
  <c r="Y19" i="55"/>
  <c r="Z18" i="54"/>
  <c r="Y37" i="54"/>
  <c r="Y39" i="54"/>
  <c r="Y61" i="54"/>
  <c r="Y63" i="54"/>
  <c r="Y85" i="54"/>
  <c r="Y87" i="54"/>
  <c r="Y109" i="54"/>
  <c r="Y111" i="54"/>
  <c r="Y133" i="54"/>
  <c r="Y135" i="54"/>
  <c r="Y36" i="54"/>
  <c r="Y38" i="54"/>
  <c r="Y40" i="54"/>
  <c r="Y60" i="54"/>
  <c r="Y65" i="54" s="1"/>
  <c r="Y62" i="54"/>
  <c r="Y64" i="54"/>
  <c r="Y84" i="54"/>
  <c r="Y86" i="54"/>
  <c r="Y88" i="54"/>
  <c r="Y108" i="54"/>
  <c r="Y113" i="54" s="1"/>
  <c r="Y110" i="54"/>
  <c r="Y112" i="54"/>
  <c r="Y132" i="54"/>
  <c r="Y134" i="54"/>
  <c r="Y136" i="54"/>
  <c r="Y19" i="54"/>
  <c r="O77" i="56"/>
  <c r="N77" i="56"/>
  <c r="M77" i="56"/>
  <c r="L77" i="56"/>
  <c r="K77" i="56"/>
  <c r="J77" i="56"/>
  <c r="O65" i="56"/>
  <c r="N65" i="56"/>
  <c r="M65" i="56"/>
  <c r="L65" i="56"/>
  <c r="K65" i="56"/>
  <c r="J65" i="56"/>
  <c r="O53" i="56"/>
  <c r="N53" i="56"/>
  <c r="M53" i="56"/>
  <c r="L53" i="56"/>
  <c r="K53" i="56"/>
  <c r="J53" i="56"/>
  <c r="O41" i="56"/>
  <c r="N41" i="56"/>
  <c r="M41" i="56"/>
  <c r="L41" i="56"/>
  <c r="K41" i="56"/>
  <c r="J41" i="56"/>
  <c r="M131" i="55"/>
  <c r="L131" i="55"/>
  <c r="K131" i="55"/>
  <c r="J131" i="55"/>
  <c r="I131" i="55"/>
  <c r="H131" i="55"/>
  <c r="M107" i="55"/>
  <c r="L107" i="55"/>
  <c r="K107" i="55"/>
  <c r="J107" i="55"/>
  <c r="I107" i="55"/>
  <c r="H107" i="55"/>
  <c r="M83" i="55"/>
  <c r="L83" i="55"/>
  <c r="K83" i="55"/>
  <c r="J83" i="55"/>
  <c r="I83" i="55"/>
  <c r="H83" i="55"/>
  <c r="M59" i="55"/>
  <c r="L59" i="55"/>
  <c r="K59" i="55"/>
  <c r="J59" i="55"/>
  <c r="I59" i="55"/>
  <c r="H59" i="55"/>
  <c r="M35" i="55"/>
  <c r="L35" i="55"/>
  <c r="K35" i="55"/>
  <c r="J35" i="55"/>
  <c r="I35" i="55"/>
  <c r="H35" i="55"/>
  <c r="K121" i="55"/>
  <c r="J121" i="55"/>
  <c r="I121" i="55"/>
  <c r="H121" i="55"/>
  <c r="G121" i="55"/>
  <c r="F121" i="55"/>
  <c r="K97" i="55"/>
  <c r="J97" i="55"/>
  <c r="I97" i="55"/>
  <c r="H97" i="55"/>
  <c r="G97" i="55"/>
  <c r="F97" i="55"/>
  <c r="K73" i="55"/>
  <c r="J73" i="55"/>
  <c r="I73" i="55"/>
  <c r="H73" i="55"/>
  <c r="G73" i="55"/>
  <c r="F73" i="55"/>
  <c r="K49" i="55"/>
  <c r="J49" i="55"/>
  <c r="I49" i="55"/>
  <c r="H49" i="55"/>
  <c r="G49" i="55"/>
  <c r="F49" i="55"/>
  <c r="K25" i="55"/>
  <c r="J25" i="55"/>
  <c r="I25" i="55"/>
  <c r="H25" i="55"/>
  <c r="G25" i="55"/>
  <c r="F25" i="55"/>
  <c r="X11" i="55" l="1"/>
  <c r="Y27" i="55"/>
  <c r="Y29" i="55"/>
  <c r="Y51" i="55"/>
  <c r="Y53" i="55"/>
  <c r="Y75" i="55"/>
  <c r="Y77" i="55"/>
  <c r="Y99" i="55"/>
  <c r="Y101" i="55"/>
  <c r="Y123" i="55"/>
  <c r="Y125" i="55"/>
  <c r="Z19" i="55"/>
  <c r="Y26" i="55"/>
  <c r="Y28" i="55"/>
  <c r="Y30" i="55"/>
  <c r="Y50" i="55"/>
  <c r="Y52" i="55"/>
  <c r="Y54" i="55"/>
  <c r="Y74" i="55"/>
  <c r="Y79" i="55" s="1"/>
  <c r="Y76" i="55"/>
  <c r="Y78" i="55"/>
  <c r="Y98" i="55"/>
  <c r="Y100" i="55"/>
  <c r="Y102" i="55"/>
  <c r="Y122" i="55"/>
  <c r="Y127" i="55" s="1"/>
  <c r="Y124" i="55"/>
  <c r="Y126" i="55"/>
  <c r="Z36" i="55"/>
  <c r="Z38" i="55"/>
  <c r="Z40" i="55"/>
  <c r="Z60" i="55"/>
  <c r="Z62" i="55"/>
  <c r="Z64" i="55"/>
  <c r="Z84" i="55"/>
  <c r="Z86" i="55"/>
  <c r="Z88" i="55"/>
  <c r="Z108" i="55"/>
  <c r="Z110" i="55"/>
  <c r="Z112" i="55"/>
  <c r="Z132" i="55"/>
  <c r="Z134" i="55"/>
  <c r="Z136" i="55"/>
  <c r="Z37" i="55"/>
  <c r="Z39" i="55"/>
  <c r="Z61" i="55"/>
  <c r="Z63" i="55"/>
  <c r="Z85" i="55"/>
  <c r="Z87" i="55"/>
  <c r="Z109" i="55"/>
  <c r="Z111" i="55"/>
  <c r="Z133" i="55"/>
  <c r="Z135" i="55"/>
  <c r="Y137" i="55"/>
  <c r="Y41" i="55"/>
  <c r="AA18" i="55"/>
  <c r="Y89" i="55"/>
  <c r="Y113" i="55"/>
  <c r="Y89" i="54"/>
  <c r="Y27" i="54"/>
  <c r="Y29" i="54"/>
  <c r="Y51" i="54"/>
  <c r="Y53" i="54"/>
  <c r="Y75" i="54"/>
  <c r="Y77" i="54"/>
  <c r="Y99" i="54"/>
  <c r="Y101" i="54"/>
  <c r="Y123" i="54"/>
  <c r="Y125" i="54"/>
  <c r="Y26" i="54"/>
  <c r="Y28" i="54"/>
  <c r="Y30" i="54"/>
  <c r="Y50" i="54"/>
  <c r="Y55" i="54" s="1"/>
  <c r="Y52" i="54"/>
  <c r="Y54" i="54"/>
  <c r="Y74" i="54"/>
  <c r="Y76" i="54"/>
  <c r="Y78" i="54"/>
  <c r="Y98" i="54"/>
  <c r="Y100" i="54"/>
  <c r="Y102" i="54"/>
  <c r="Y122" i="54"/>
  <c r="Y127" i="54" s="1"/>
  <c r="Y124" i="54"/>
  <c r="Y126" i="54"/>
  <c r="Z36" i="54"/>
  <c r="Z38" i="54"/>
  <c r="Z40" i="54"/>
  <c r="Z60" i="54"/>
  <c r="Z62" i="54"/>
  <c r="Z64" i="54"/>
  <c r="Z84" i="54"/>
  <c r="Z86" i="54"/>
  <c r="Z88" i="54"/>
  <c r="Z108" i="54"/>
  <c r="Z110" i="54"/>
  <c r="Z112" i="54"/>
  <c r="Z132" i="54"/>
  <c r="Z134" i="54"/>
  <c r="Z136" i="54"/>
  <c r="Z37" i="54"/>
  <c r="Z39" i="54"/>
  <c r="Z61" i="54"/>
  <c r="Z63" i="54"/>
  <c r="Z85" i="54"/>
  <c r="Z87" i="54"/>
  <c r="Z109" i="54"/>
  <c r="Z111" i="54"/>
  <c r="Z133" i="54"/>
  <c r="Z135" i="54"/>
  <c r="Y137" i="54"/>
  <c r="Y41" i="54"/>
  <c r="Y10" i="54" s="1"/>
  <c r="AA18" i="54"/>
  <c r="Z19" i="54"/>
  <c r="E8" i="33"/>
  <c r="O122" i="55" s="1"/>
  <c r="D82" i="56"/>
  <c r="D81" i="56"/>
  <c r="D80" i="56"/>
  <c r="D79" i="56"/>
  <c r="D78" i="56"/>
  <c r="D70" i="56"/>
  <c r="D69" i="56"/>
  <c r="D68" i="56"/>
  <c r="D67" i="56"/>
  <c r="D66" i="56"/>
  <c r="D58" i="56"/>
  <c r="D57" i="56"/>
  <c r="D56" i="56"/>
  <c r="D55" i="56"/>
  <c r="D54" i="56"/>
  <c r="D46" i="56"/>
  <c r="D45" i="56"/>
  <c r="D44" i="56"/>
  <c r="D43" i="56"/>
  <c r="D42" i="56"/>
  <c r="D34" i="56"/>
  <c r="D33" i="56"/>
  <c r="D32" i="56"/>
  <c r="D31" i="56"/>
  <c r="D30" i="56"/>
  <c r="Y23" i="56"/>
  <c r="AN82" i="56" s="1"/>
  <c r="Y22" i="56"/>
  <c r="AN70" i="56" s="1"/>
  <c r="Y21" i="56"/>
  <c r="AM58" i="56" s="1"/>
  <c r="AI57" i="56"/>
  <c r="AL55" i="56"/>
  <c r="Y20" i="56"/>
  <c r="AN46" i="56" s="1"/>
  <c r="AN43" i="56"/>
  <c r="AM42" i="56"/>
  <c r="C42" i="32"/>
  <c r="C41" i="32"/>
  <c r="C40" i="32"/>
  <c r="C39" i="32"/>
  <c r="C38" i="32"/>
  <c r="A29" i="37"/>
  <c r="A28" i="37"/>
  <c r="A27" i="37"/>
  <c r="A26" i="37"/>
  <c r="A25" i="37"/>
  <c r="J23" i="37"/>
  <c r="J22" i="37"/>
  <c r="J21" i="37"/>
  <c r="J20" i="37"/>
  <c r="J19" i="37"/>
  <c r="I23" i="37"/>
  <c r="I22" i="37"/>
  <c r="I21" i="37"/>
  <c r="I20" i="37"/>
  <c r="I19" i="37"/>
  <c r="H23" i="37"/>
  <c r="G23" i="37"/>
  <c r="F23" i="37"/>
  <c r="E23" i="37"/>
  <c r="E29" i="37" s="1"/>
  <c r="D23" i="37"/>
  <c r="H22" i="37"/>
  <c r="H28" i="37" s="1"/>
  <c r="G22" i="37"/>
  <c r="F22" i="37"/>
  <c r="E22" i="37"/>
  <c r="E28" i="37"/>
  <c r="D22" i="37"/>
  <c r="H21" i="37"/>
  <c r="G21" i="37"/>
  <c r="G27" i="37" s="1"/>
  <c r="F21" i="37"/>
  <c r="F27" i="37" s="1"/>
  <c r="E21" i="37"/>
  <c r="E27" i="37"/>
  <c r="D21" i="37"/>
  <c r="D27" i="37"/>
  <c r="H20" i="37"/>
  <c r="H26" i="37" s="1"/>
  <c r="G20" i="37"/>
  <c r="G26" i="37" s="1"/>
  <c r="F20" i="37"/>
  <c r="E20" i="37"/>
  <c r="D20" i="37"/>
  <c r="D26" i="37" s="1"/>
  <c r="C23" i="37"/>
  <c r="C22" i="37"/>
  <c r="C21" i="37"/>
  <c r="C27" i="37" s="1"/>
  <c r="C20" i="37"/>
  <c r="H19" i="37"/>
  <c r="G19" i="37"/>
  <c r="F19" i="37"/>
  <c r="E19" i="37"/>
  <c r="D19" i="37"/>
  <c r="D25" i="37" s="1"/>
  <c r="C19" i="37"/>
  <c r="I10" i="37"/>
  <c r="H10" i="37"/>
  <c r="G10" i="37"/>
  <c r="F10" i="37"/>
  <c r="E10" i="37"/>
  <c r="D10" i="37"/>
  <c r="I4" i="37"/>
  <c r="H4" i="37"/>
  <c r="G4" i="37"/>
  <c r="F4" i="37"/>
  <c r="E4" i="37"/>
  <c r="D4" i="37"/>
  <c r="T81" i="56"/>
  <c r="R80" i="56"/>
  <c r="Q79" i="56"/>
  <c r="C78" i="56"/>
  <c r="T69" i="56"/>
  <c r="R68" i="56"/>
  <c r="Q67" i="56"/>
  <c r="C66" i="56"/>
  <c r="T57" i="56"/>
  <c r="R56" i="56"/>
  <c r="Q55" i="56"/>
  <c r="C54" i="56"/>
  <c r="T45" i="56"/>
  <c r="R44" i="56"/>
  <c r="Q43" i="56"/>
  <c r="C42" i="56"/>
  <c r="T33" i="56"/>
  <c r="Y19" i="56"/>
  <c r="AN34" i="56" s="1"/>
  <c r="X23" i="56"/>
  <c r="AC79" i="56" s="1"/>
  <c r="X22" i="56"/>
  <c r="AC70" i="56" s="1"/>
  <c r="X21" i="56"/>
  <c r="AC57" i="56" s="1"/>
  <c r="X20" i="56"/>
  <c r="AC45" i="56" s="1"/>
  <c r="X19" i="56"/>
  <c r="AC31" i="56" s="1"/>
  <c r="R32" i="56"/>
  <c r="Q31" i="56"/>
  <c r="O29" i="56"/>
  <c r="N29" i="56"/>
  <c r="M29" i="56"/>
  <c r="L29" i="56"/>
  <c r="K29" i="56"/>
  <c r="J29" i="56"/>
  <c r="AB8" i="56"/>
  <c r="AA8" i="56"/>
  <c r="Z8" i="56"/>
  <c r="Y8" i="56"/>
  <c r="X8" i="56"/>
  <c r="X10" i="56" s="1"/>
  <c r="W8" i="56"/>
  <c r="C30" i="56"/>
  <c r="L23" i="56"/>
  <c r="W23" i="56" s="1"/>
  <c r="W81" i="56" s="1"/>
  <c r="L22" i="56"/>
  <c r="W22" i="56" s="1"/>
  <c r="L21" i="56"/>
  <c r="W21" i="56" s="1"/>
  <c r="L20" i="56"/>
  <c r="W20" i="56" s="1"/>
  <c r="W43" i="56" s="1"/>
  <c r="L19" i="56"/>
  <c r="W19" i="56" s="1"/>
  <c r="C19" i="56"/>
  <c r="C26" i="56" s="1"/>
  <c r="C6" i="56"/>
  <c r="C7" i="56"/>
  <c r="C8" i="56"/>
  <c r="C9" i="56"/>
  <c r="C10" i="56"/>
  <c r="S136" i="55"/>
  <c r="C136" i="55"/>
  <c r="S135" i="55"/>
  <c r="C135" i="55"/>
  <c r="S134" i="55"/>
  <c r="C134" i="55"/>
  <c r="S133" i="55"/>
  <c r="C133" i="55"/>
  <c r="S132" i="55"/>
  <c r="C132" i="55"/>
  <c r="C126" i="55"/>
  <c r="C125" i="55"/>
  <c r="C124" i="55"/>
  <c r="C123" i="55"/>
  <c r="C122" i="55"/>
  <c r="S112" i="55"/>
  <c r="C112" i="55"/>
  <c r="S111" i="55"/>
  <c r="C111" i="55"/>
  <c r="S110" i="55"/>
  <c r="C110" i="55"/>
  <c r="S109" i="55"/>
  <c r="C109" i="55"/>
  <c r="S108" i="55"/>
  <c r="C108" i="55"/>
  <c r="C102" i="55"/>
  <c r="C101" i="55"/>
  <c r="C100" i="55"/>
  <c r="C99" i="55"/>
  <c r="C98" i="55"/>
  <c r="S88" i="55"/>
  <c r="C88" i="55"/>
  <c r="S87" i="55"/>
  <c r="C87" i="55"/>
  <c r="S86" i="55"/>
  <c r="C86" i="55"/>
  <c r="S85" i="55"/>
  <c r="C85" i="55"/>
  <c r="S84" i="55"/>
  <c r="C84" i="55"/>
  <c r="C78" i="55"/>
  <c r="C77" i="55"/>
  <c r="C76" i="55"/>
  <c r="C75" i="55"/>
  <c r="C74" i="55"/>
  <c r="S64" i="55"/>
  <c r="C64" i="55"/>
  <c r="S63" i="55"/>
  <c r="C63" i="55"/>
  <c r="S62" i="55"/>
  <c r="C62" i="55"/>
  <c r="S61" i="55"/>
  <c r="C61" i="55"/>
  <c r="S60" i="55"/>
  <c r="C60" i="55"/>
  <c r="C54" i="55"/>
  <c r="C53" i="55"/>
  <c r="C52" i="55"/>
  <c r="C51" i="55"/>
  <c r="C50" i="55"/>
  <c r="S40" i="55"/>
  <c r="C40" i="55"/>
  <c r="S39" i="55"/>
  <c r="C39" i="55"/>
  <c r="S38" i="55"/>
  <c r="C38" i="55"/>
  <c r="S37" i="55"/>
  <c r="C37" i="55"/>
  <c r="S36" i="55"/>
  <c r="C36" i="55"/>
  <c r="C30" i="55"/>
  <c r="C29" i="55"/>
  <c r="C28" i="55"/>
  <c r="C27" i="55"/>
  <c r="C26" i="55"/>
  <c r="C14" i="55"/>
  <c r="C21" i="55" s="1"/>
  <c r="S136" i="54"/>
  <c r="C136" i="54"/>
  <c r="S135" i="54"/>
  <c r="S134" i="54"/>
  <c r="S133" i="54"/>
  <c r="S132" i="54"/>
  <c r="C132" i="54"/>
  <c r="C133" i="54"/>
  <c r="C134" i="54"/>
  <c r="C135" i="54"/>
  <c r="M131" i="54"/>
  <c r="L131" i="54"/>
  <c r="K131" i="54"/>
  <c r="J131" i="54"/>
  <c r="I131" i="54"/>
  <c r="H131" i="54"/>
  <c r="C126" i="54"/>
  <c r="C125" i="54"/>
  <c r="C124" i="54"/>
  <c r="C122" i="54"/>
  <c r="C123" i="54"/>
  <c r="K121" i="54"/>
  <c r="J121" i="54"/>
  <c r="I121" i="54"/>
  <c r="H121" i="54"/>
  <c r="G121" i="54"/>
  <c r="F121" i="54"/>
  <c r="S112" i="54"/>
  <c r="C112" i="54"/>
  <c r="S111" i="54"/>
  <c r="S110" i="54"/>
  <c r="S109" i="54"/>
  <c r="S108" i="54"/>
  <c r="C108" i="54"/>
  <c r="C109" i="54"/>
  <c r="C110" i="54"/>
  <c r="C111" i="54"/>
  <c r="M107" i="54"/>
  <c r="L107" i="54"/>
  <c r="K107" i="54"/>
  <c r="J107" i="54"/>
  <c r="I107" i="54"/>
  <c r="H107" i="54"/>
  <c r="C102" i="54"/>
  <c r="C101" i="54"/>
  <c r="C100" i="54"/>
  <c r="C98" i="54"/>
  <c r="C99" i="54"/>
  <c r="K97" i="54"/>
  <c r="J97" i="54"/>
  <c r="I97" i="54"/>
  <c r="H97" i="54"/>
  <c r="G97" i="54"/>
  <c r="F97" i="54"/>
  <c r="O76" i="54"/>
  <c r="S88" i="54"/>
  <c r="C88" i="54"/>
  <c r="S87" i="54"/>
  <c r="S86" i="54"/>
  <c r="S85" i="54"/>
  <c r="S84" i="54"/>
  <c r="C84" i="54"/>
  <c r="C85" i="54"/>
  <c r="C86" i="54"/>
  <c r="C87" i="54"/>
  <c r="M83" i="54"/>
  <c r="L83" i="54"/>
  <c r="K83" i="54"/>
  <c r="J83" i="54"/>
  <c r="I83" i="54"/>
  <c r="H83" i="54"/>
  <c r="C78" i="54"/>
  <c r="C77" i="54"/>
  <c r="C76" i="54"/>
  <c r="O74" i="54"/>
  <c r="C74" i="54"/>
  <c r="C75" i="54"/>
  <c r="K73" i="54"/>
  <c r="J73" i="54"/>
  <c r="I73" i="54"/>
  <c r="H73" i="54"/>
  <c r="G73" i="54"/>
  <c r="F73" i="54"/>
  <c r="S64" i="54"/>
  <c r="C64" i="54"/>
  <c r="S63" i="54"/>
  <c r="S62" i="54"/>
  <c r="S61" i="54"/>
  <c r="S60" i="54"/>
  <c r="C60" i="54"/>
  <c r="C61" i="54"/>
  <c r="C62" i="54"/>
  <c r="C63" i="54"/>
  <c r="M59" i="54"/>
  <c r="L59" i="54"/>
  <c r="K59" i="54"/>
  <c r="J59" i="54"/>
  <c r="I59" i="54"/>
  <c r="H59" i="54"/>
  <c r="C54" i="54"/>
  <c r="C53" i="54"/>
  <c r="C52" i="54"/>
  <c r="C50" i="54"/>
  <c r="C51" i="54"/>
  <c r="K49" i="54"/>
  <c r="J49" i="54"/>
  <c r="I49" i="54"/>
  <c r="H49" i="54"/>
  <c r="G49" i="54"/>
  <c r="F49" i="54"/>
  <c r="S40" i="54"/>
  <c r="S39" i="54"/>
  <c r="S38" i="54"/>
  <c r="S37" i="54"/>
  <c r="S36" i="54"/>
  <c r="M35" i="54"/>
  <c r="L35" i="54"/>
  <c r="K35" i="54"/>
  <c r="J35" i="54"/>
  <c r="I35" i="54"/>
  <c r="H35" i="54"/>
  <c r="K25" i="54"/>
  <c r="J25" i="54"/>
  <c r="I25" i="54"/>
  <c r="H25" i="54"/>
  <c r="G25" i="54"/>
  <c r="F25" i="54"/>
  <c r="C40" i="54"/>
  <c r="C36" i="54"/>
  <c r="C37" i="54"/>
  <c r="C38" i="54"/>
  <c r="C39" i="54"/>
  <c r="C30" i="54"/>
  <c r="C29" i="54"/>
  <c r="C26" i="54"/>
  <c r="C27" i="54" s="1"/>
  <c r="C28" i="54" s="1"/>
  <c r="C14" i="54"/>
  <c r="C21" i="54" s="1"/>
  <c r="E25" i="37"/>
  <c r="H27" i="37"/>
  <c r="H25" i="37"/>
  <c r="D29" i="37"/>
  <c r="B19" i="37"/>
  <c r="B25" i="37" s="1"/>
  <c r="E26" i="37"/>
  <c r="F28" i="37"/>
  <c r="J28" i="37"/>
  <c r="G28" i="37"/>
  <c r="H29" i="37"/>
  <c r="C28" i="37"/>
  <c r="D28" i="37"/>
  <c r="F25" i="37"/>
  <c r="F29" i="37"/>
  <c r="J29" i="37"/>
  <c r="C25" i="37"/>
  <c r="G25" i="37"/>
  <c r="G29" i="37"/>
  <c r="C26" i="37"/>
  <c r="J25" i="37"/>
  <c r="C29" i="37"/>
  <c r="J27" i="37"/>
  <c r="F26" i="37"/>
  <c r="W42" i="56"/>
  <c r="AC82" i="56"/>
  <c r="AC78" i="56"/>
  <c r="X9" i="56"/>
  <c r="AD57" i="56" s="1"/>
  <c r="AC81" i="56"/>
  <c r="C43" i="56"/>
  <c r="C44" i="56"/>
  <c r="C55" i="56"/>
  <c r="C56" i="56"/>
  <c r="C57" i="56"/>
  <c r="C58" i="56"/>
  <c r="C79" i="56"/>
  <c r="C80" i="56"/>
  <c r="C81" i="56"/>
  <c r="C82" i="56"/>
  <c r="C67" i="56"/>
  <c r="C68" i="56"/>
  <c r="C69" i="56"/>
  <c r="C70" i="56"/>
  <c r="C45" i="56"/>
  <c r="C46" i="56"/>
  <c r="AC30" i="56"/>
  <c r="AC33" i="56"/>
  <c r="C31" i="56"/>
  <c r="C32" i="56"/>
  <c r="C33" i="56"/>
  <c r="C34" i="56"/>
  <c r="C20" i="56"/>
  <c r="C38" i="56" s="1"/>
  <c r="B20" i="37"/>
  <c r="B26" i="37" s="1"/>
  <c r="C21" i="56"/>
  <c r="C50" i="56" s="1"/>
  <c r="B21" i="37"/>
  <c r="B27" i="37" s="1"/>
  <c r="C22" i="56"/>
  <c r="B22" i="37" s="1"/>
  <c r="B28" i="37" s="1"/>
  <c r="C62" i="56"/>
  <c r="C23" i="56"/>
  <c r="C74" i="56" s="1"/>
  <c r="Q56" i="56"/>
  <c r="Q46" i="56"/>
  <c r="Q44" i="56"/>
  <c r="Q42" i="56"/>
  <c r="Q80" i="56"/>
  <c r="Q68" i="56"/>
  <c r="Q45" i="56"/>
  <c r="Q81" i="56"/>
  <c r="Q58" i="56"/>
  <c r="Q57" i="56"/>
  <c r="Q70" i="56"/>
  <c r="Q82" i="56"/>
  <c r="Q69" i="56"/>
  <c r="Q32" i="56"/>
  <c r="Q34" i="56"/>
  <c r="Q33" i="56"/>
  <c r="B5" i="53"/>
  <c r="E2" i="13"/>
  <c r="E3" i="13"/>
  <c r="H9" i="33"/>
  <c r="E4" i="13"/>
  <c r="Q54" i="56"/>
  <c r="T80" i="56"/>
  <c r="T79" i="56"/>
  <c r="T68" i="56"/>
  <c r="T58" i="56"/>
  <c r="R81" i="56"/>
  <c r="R70" i="56"/>
  <c r="R69" i="56"/>
  <c r="T67" i="56"/>
  <c r="R57" i="56"/>
  <c r="R55" i="56"/>
  <c r="T43" i="56"/>
  <c r="R79" i="56"/>
  <c r="S79" i="56" s="1"/>
  <c r="R78" i="56"/>
  <c r="R58" i="56"/>
  <c r="R46" i="56"/>
  <c r="R45" i="56"/>
  <c r="T82" i="56"/>
  <c r="T44" i="56"/>
  <c r="R31" i="56"/>
  <c r="T70" i="56"/>
  <c r="T55" i="56"/>
  <c r="T46" i="56"/>
  <c r="T31" i="56"/>
  <c r="R34" i="56"/>
  <c r="R67" i="56"/>
  <c r="T34" i="56"/>
  <c r="R33" i="56"/>
  <c r="T32" i="56"/>
  <c r="R42" i="56"/>
  <c r="Q30" i="56"/>
  <c r="Q66" i="56"/>
  <c r="T56" i="56"/>
  <c r="Q78" i="56"/>
  <c r="R43" i="56"/>
  <c r="R82" i="56"/>
  <c r="T42" i="56"/>
  <c r="A3" i="52"/>
  <c r="A4" i="52"/>
  <c r="A5" i="52" s="1"/>
  <c r="A6" i="52" s="1"/>
  <c r="A7" i="52" s="1"/>
  <c r="A8" i="52" s="1"/>
  <c r="A9" i="52" s="1"/>
  <c r="A10" i="52" s="1"/>
  <c r="A11" i="52" s="1"/>
  <c r="A12" i="52" s="1"/>
  <c r="A13" i="52" s="1"/>
  <c r="A14" i="52" s="1"/>
  <c r="A15" i="52" s="1"/>
  <c r="A16" i="52" s="1"/>
  <c r="A17" i="52" s="1"/>
  <c r="A18" i="52" s="1"/>
  <c r="A19" i="52" s="1"/>
  <c r="A20" i="52" s="1"/>
  <c r="A21" i="52" s="1"/>
  <c r="A22" i="52" s="1"/>
  <c r="A23" i="52" s="1"/>
  <c r="A24" i="52" s="1"/>
  <c r="A25" i="52" s="1"/>
  <c r="A26" i="52" s="1"/>
  <c r="A3" i="51"/>
  <c r="A4" i="51" s="1"/>
  <c r="A5" i="51" s="1"/>
  <c r="A6" i="51" s="1"/>
  <c r="A7" i="51" s="1"/>
  <c r="A8" i="51" s="1"/>
  <c r="A9" i="51" s="1"/>
  <c r="A3" i="50"/>
  <c r="A4" i="50" s="1"/>
  <c r="A5" i="50" s="1"/>
  <c r="A6" i="50" s="1"/>
  <c r="A7" i="50" s="1"/>
  <c r="A8" i="50" s="1"/>
  <c r="A9" i="50" s="1"/>
  <c r="A10" i="50" s="1"/>
  <c r="A11" i="50" s="1"/>
  <c r="A12" i="50" s="1"/>
  <c r="A13" i="50" s="1"/>
  <c r="A14" i="50" s="1"/>
  <c r="A15" i="50" s="1"/>
  <c r="A16" i="50" s="1"/>
  <c r="A17" i="50" s="1"/>
  <c r="L270" i="49"/>
  <c r="K270" i="49"/>
  <c r="J270" i="49"/>
  <c r="I270" i="49"/>
  <c r="H270" i="49"/>
  <c r="L269" i="49"/>
  <c r="K269" i="49"/>
  <c r="J269" i="49"/>
  <c r="I269" i="49"/>
  <c r="H269" i="49"/>
  <c r="L268" i="49"/>
  <c r="K268" i="49"/>
  <c r="J268" i="49"/>
  <c r="I268" i="49"/>
  <c r="H268" i="49"/>
  <c r="L267" i="49"/>
  <c r="K267" i="49"/>
  <c r="J267" i="49"/>
  <c r="I267" i="49"/>
  <c r="H267" i="49"/>
  <c r="L266" i="49"/>
  <c r="K266" i="49"/>
  <c r="J266" i="49"/>
  <c r="I266" i="49"/>
  <c r="H266" i="49"/>
  <c r="E264" i="42" s="1"/>
  <c r="L265" i="49"/>
  <c r="K265" i="49"/>
  <c r="J265" i="49"/>
  <c r="I265" i="49"/>
  <c r="P265" i="49" s="1"/>
  <c r="F263" i="42" s="1"/>
  <c r="H265" i="49"/>
  <c r="E263" i="42" s="1"/>
  <c r="L264" i="49"/>
  <c r="K264" i="49"/>
  <c r="J264" i="49"/>
  <c r="I264" i="49"/>
  <c r="H264" i="49"/>
  <c r="E262" i="42" s="1"/>
  <c r="L263" i="49"/>
  <c r="K263" i="49"/>
  <c r="J263" i="49"/>
  <c r="I263" i="49"/>
  <c r="H263" i="49"/>
  <c r="L262" i="49"/>
  <c r="K262" i="49"/>
  <c r="J262" i="49"/>
  <c r="I262" i="49"/>
  <c r="H262" i="49"/>
  <c r="E260" i="42" s="1"/>
  <c r="L261" i="49"/>
  <c r="K261" i="49"/>
  <c r="J261" i="49"/>
  <c r="I261" i="49"/>
  <c r="H261" i="49"/>
  <c r="L260" i="49"/>
  <c r="K260" i="49"/>
  <c r="J260" i="49"/>
  <c r="I260" i="49"/>
  <c r="H260" i="49"/>
  <c r="L259" i="49"/>
  <c r="K259" i="49"/>
  <c r="J259" i="49"/>
  <c r="I259" i="49"/>
  <c r="H259" i="49"/>
  <c r="L258" i="49"/>
  <c r="K258" i="49"/>
  <c r="J258" i="49"/>
  <c r="I258" i="49"/>
  <c r="H258" i="49"/>
  <c r="E256" i="42" s="1"/>
  <c r="L257" i="49"/>
  <c r="K257" i="49"/>
  <c r="J257" i="49"/>
  <c r="I257" i="49"/>
  <c r="H257" i="49"/>
  <c r="L256" i="49"/>
  <c r="K256" i="49"/>
  <c r="J256" i="49"/>
  <c r="I256" i="49"/>
  <c r="H256" i="49"/>
  <c r="E254" i="42"/>
  <c r="L255" i="49"/>
  <c r="K255" i="49"/>
  <c r="J255" i="49"/>
  <c r="I255" i="49"/>
  <c r="H255" i="49"/>
  <c r="L254" i="49"/>
  <c r="K254" i="49"/>
  <c r="J254" i="49"/>
  <c r="I254" i="49"/>
  <c r="H254" i="49"/>
  <c r="E252" i="42" s="1"/>
  <c r="L253" i="49"/>
  <c r="K253" i="49"/>
  <c r="J253" i="49"/>
  <c r="I253" i="49"/>
  <c r="H253" i="49"/>
  <c r="L252" i="49"/>
  <c r="K252" i="49"/>
  <c r="J252" i="49"/>
  <c r="I252" i="49"/>
  <c r="H252" i="49"/>
  <c r="E250" i="42" s="1"/>
  <c r="L251" i="49"/>
  <c r="K251" i="49"/>
  <c r="J251" i="49"/>
  <c r="I251" i="49"/>
  <c r="H251" i="49"/>
  <c r="L250" i="49"/>
  <c r="K250" i="49"/>
  <c r="J250" i="49"/>
  <c r="I250" i="49"/>
  <c r="H250" i="49"/>
  <c r="L249" i="49"/>
  <c r="K249" i="49"/>
  <c r="J249" i="49"/>
  <c r="I249" i="49"/>
  <c r="H249" i="49"/>
  <c r="L248" i="49"/>
  <c r="K248" i="49"/>
  <c r="J248" i="49"/>
  <c r="I248" i="49"/>
  <c r="H248" i="49"/>
  <c r="L247" i="49"/>
  <c r="K247" i="49"/>
  <c r="J247" i="49"/>
  <c r="I247" i="49"/>
  <c r="H247" i="49"/>
  <c r="L246" i="49"/>
  <c r="K246" i="49"/>
  <c r="J246" i="49"/>
  <c r="I246" i="49"/>
  <c r="H246" i="49"/>
  <c r="L245" i="49"/>
  <c r="K245" i="49"/>
  <c r="J245" i="49"/>
  <c r="I245" i="49"/>
  <c r="H245" i="49"/>
  <c r="E243" i="42"/>
  <c r="L244" i="49"/>
  <c r="K244" i="49"/>
  <c r="J244" i="49"/>
  <c r="I244" i="49"/>
  <c r="H244" i="49"/>
  <c r="E242" i="42" s="1"/>
  <c r="L243" i="49"/>
  <c r="K243" i="49"/>
  <c r="J243" i="49"/>
  <c r="I243" i="49"/>
  <c r="H243" i="49"/>
  <c r="E241" i="42"/>
  <c r="L242" i="49"/>
  <c r="K242" i="49"/>
  <c r="J242" i="49"/>
  <c r="I242" i="49"/>
  <c r="H242" i="49"/>
  <c r="E240" i="42" s="1"/>
  <c r="L241" i="49"/>
  <c r="K241" i="49"/>
  <c r="J241" i="49"/>
  <c r="I241" i="49"/>
  <c r="H241" i="49"/>
  <c r="L240" i="49"/>
  <c r="K240" i="49"/>
  <c r="J240" i="49"/>
  <c r="P240" i="49" s="1"/>
  <c r="F238" i="42" s="1"/>
  <c r="I240" i="49"/>
  <c r="H240" i="49"/>
  <c r="E238" i="42" s="1"/>
  <c r="L239" i="49"/>
  <c r="K239" i="49"/>
  <c r="J239" i="49"/>
  <c r="I239" i="49"/>
  <c r="H239" i="49"/>
  <c r="E237" i="42" s="1"/>
  <c r="L238" i="49"/>
  <c r="P238" i="49" s="1"/>
  <c r="F236" i="42" s="1"/>
  <c r="K238" i="49"/>
  <c r="J238" i="49"/>
  <c r="I238" i="49"/>
  <c r="H238" i="49"/>
  <c r="E236" i="42" s="1"/>
  <c r="L237" i="49"/>
  <c r="K237" i="49"/>
  <c r="J237" i="49"/>
  <c r="I237" i="49"/>
  <c r="H237" i="49"/>
  <c r="L236" i="49"/>
  <c r="K236" i="49"/>
  <c r="J236" i="49"/>
  <c r="I236" i="49"/>
  <c r="H236" i="49"/>
  <c r="L235" i="49"/>
  <c r="K235" i="49"/>
  <c r="J235" i="49"/>
  <c r="I235" i="49"/>
  <c r="H235" i="49"/>
  <c r="L234" i="49"/>
  <c r="K234" i="49"/>
  <c r="J234" i="49"/>
  <c r="I234" i="49"/>
  <c r="H234" i="49"/>
  <c r="L233" i="49"/>
  <c r="K233" i="49"/>
  <c r="J233" i="49"/>
  <c r="I233" i="49"/>
  <c r="H233" i="49"/>
  <c r="L232" i="49"/>
  <c r="K232" i="49"/>
  <c r="J232" i="49"/>
  <c r="I232" i="49"/>
  <c r="H232" i="49"/>
  <c r="L231" i="49"/>
  <c r="K231" i="49"/>
  <c r="J231" i="49"/>
  <c r="I231" i="49"/>
  <c r="H231" i="49"/>
  <c r="E229" i="42" s="1"/>
  <c r="L230" i="49"/>
  <c r="K230" i="49"/>
  <c r="J230" i="49"/>
  <c r="I230" i="49"/>
  <c r="H230" i="49"/>
  <c r="L229" i="49"/>
  <c r="K229" i="49"/>
  <c r="J229" i="49"/>
  <c r="I229" i="49"/>
  <c r="H229" i="49"/>
  <c r="E227" i="42" s="1"/>
  <c r="L228" i="49"/>
  <c r="K228" i="49"/>
  <c r="J228" i="49"/>
  <c r="I228" i="49"/>
  <c r="H228" i="49"/>
  <c r="E226" i="42" s="1"/>
  <c r="L227" i="49"/>
  <c r="K227" i="49"/>
  <c r="J227" i="49"/>
  <c r="I227" i="49"/>
  <c r="H227" i="49"/>
  <c r="E225" i="42" s="1"/>
  <c r="L226" i="49"/>
  <c r="K226" i="49"/>
  <c r="J226" i="49"/>
  <c r="I226" i="49"/>
  <c r="H226" i="49"/>
  <c r="E224" i="42" s="1"/>
  <c r="L225" i="49"/>
  <c r="K225" i="49"/>
  <c r="J225" i="49"/>
  <c r="I225" i="49"/>
  <c r="H225" i="49"/>
  <c r="L224" i="49"/>
  <c r="K224" i="49"/>
  <c r="J224" i="49"/>
  <c r="I224" i="49"/>
  <c r="H224" i="49"/>
  <c r="E222" i="42" s="1"/>
  <c r="L223" i="49"/>
  <c r="K223" i="49"/>
  <c r="J223" i="49"/>
  <c r="I223" i="49"/>
  <c r="H223" i="49"/>
  <c r="E221" i="42" s="1"/>
  <c r="L222" i="49"/>
  <c r="K222" i="49"/>
  <c r="J222" i="49"/>
  <c r="I222" i="49"/>
  <c r="H222" i="49"/>
  <c r="L221" i="49"/>
  <c r="K221" i="49"/>
  <c r="J221" i="49"/>
  <c r="I221" i="49"/>
  <c r="H221" i="49"/>
  <c r="L220" i="49"/>
  <c r="K220" i="49"/>
  <c r="J220" i="49"/>
  <c r="I220" i="49"/>
  <c r="H220" i="49"/>
  <c r="L219" i="49"/>
  <c r="K219" i="49"/>
  <c r="J219" i="49"/>
  <c r="I219" i="49"/>
  <c r="H219" i="49"/>
  <c r="E217" i="42" s="1"/>
  <c r="L218" i="49"/>
  <c r="K218" i="49"/>
  <c r="J218" i="49"/>
  <c r="I218" i="49"/>
  <c r="H218" i="49"/>
  <c r="L217" i="49"/>
  <c r="K217" i="49"/>
  <c r="J217" i="49"/>
  <c r="I217" i="49"/>
  <c r="H217" i="49"/>
  <c r="E215" i="42" s="1"/>
  <c r="L216" i="49"/>
  <c r="K216" i="49"/>
  <c r="J216" i="49"/>
  <c r="I216" i="49"/>
  <c r="H216" i="49"/>
  <c r="E214" i="42" s="1"/>
  <c r="L215" i="49"/>
  <c r="K215" i="49"/>
  <c r="J215" i="49"/>
  <c r="I215" i="49"/>
  <c r="H215" i="49"/>
  <c r="L214" i="49"/>
  <c r="K214" i="49"/>
  <c r="J214" i="49"/>
  <c r="I214" i="49"/>
  <c r="H214" i="49"/>
  <c r="E212" i="42" s="1"/>
  <c r="L213" i="49"/>
  <c r="K213" i="49"/>
  <c r="J213" i="49"/>
  <c r="I213" i="49"/>
  <c r="H213" i="49"/>
  <c r="E211" i="42" s="1"/>
  <c r="L212" i="49"/>
  <c r="K212" i="49"/>
  <c r="J212" i="49"/>
  <c r="I212" i="49"/>
  <c r="H212" i="49"/>
  <c r="L211" i="49"/>
  <c r="K211" i="49"/>
  <c r="J211" i="49"/>
  <c r="I211" i="49"/>
  <c r="H211" i="49"/>
  <c r="E209" i="42" s="1"/>
  <c r="L210" i="49"/>
  <c r="K210" i="49"/>
  <c r="J210" i="49"/>
  <c r="I210" i="49"/>
  <c r="H210" i="49"/>
  <c r="E208" i="42" s="1"/>
  <c r="L209" i="49"/>
  <c r="K209" i="49"/>
  <c r="J209" i="49"/>
  <c r="I209" i="49"/>
  <c r="H209" i="49"/>
  <c r="L208" i="49"/>
  <c r="K208" i="49"/>
  <c r="J208" i="49"/>
  <c r="I208" i="49"/>
  <c r="H208" i="49"/>
  <c r="E206" i="42" s="1"/>
  <c r="L207" i="49"/>
  <c r="K207" i="49"/>
  <c r="J207" i="49"/>
  <c r="I207" i="49"/>
  <c r="H207" i="49"/>
  <c r="E205" i="42" s="1"/>
  <c r="L206" i="49"/>
  <c r="K206" i="49"/>
  <c r="J206" i="49"/>
  <c r="I206" i="49"/>
  <c r="H206" i="49"/>
  <c r="L205" i="49"/>
  <c r="K205" i="49"/>
  <c r="J205" i="49"/>
  <c r="I205" i="49"/>
  <c r="H205" i="49"/>
  <c r="L204" i="49"/>
  <c r="K204" i="49"/>
  <c r="J204" i="49"/>
  <c r="I204" i="49"/>
  <c r="H204" i="49"/>
  <c r="E202" i="42" s="1"/>
  <c r="L203" i="49"/>
  <c r="K203" i="49"/>
  <c r="J203" i="49"/>
  <c r="I203" i="49"/>
  <c r="H203" i="49"/>
  <c r="L202" i="49"/>
  <c r="K202" i="49"/>
  <c r="J202" i="49"/>
  <c r="I202" i="49"/>
  <c r="H202" i="49"/>
  <c r="L201" i="49"/>
  <c r="K201" i="49"/>
  <c r="J201" i="49"/>
  <c r="I201" i="49"/>
  <c r="H201" i="49"/>
  <c r="L200" i="49"/>
  <c r="K200" i="49"/>
  <c r="J200" i="49"/>
  <c r="I200" i="49"/>
  <c r="H200" i="49"/>
  <c r="E198" i="42" s="1"/>
  <c r="L199" i="49"/>
  <c r="K199" i="49"/>
  <c r="J199" i="49"/>
  <c r="I199" i="49"/>
  <c r="H199" i="49"/>
  <c r="L198" i="49"/>
  <c r="K198" i="49"/>
  <c r="J198" i="49"/>
  <c r="I198" i="49"/>
  <c r="H198" i="49"/>
  <c r="L197" i="49"/>
  <c r="K197" i="49"/>
  <c r="J197" i="49"/>
  <c r="I197" i="49"/>
  <c r="H197" i="49"/>
  <c r="L196" i="49"/>
  <c r="K196" i="49"/>
  <c r="J196" i="49"/>
  <c r="I196" i="49"/>
  <c r="H196" i="49"/>
  <c r="E194" i="42" s="1"/>
  <c r="L195" i="49"/>
  <c r="K195" i="49"/>
  <c r="J195" i="49"/>
  <c r="I195" i="49"/>
  <c r="H195" i="49"/>
  <c r="E193" i="42" s="1"/>
  <c r="L194" i="49"/>
  <c r="K194" i="49"/>
  <c r="J194" i="49"/>
  <c r="I194" i="49"/>
  <c r="H194" i="49"/>
  <c r="E192" i="42" s="1"/>
  <c r="L193" i="49"/>
  <c r="K193" i="49"/>
  <c r="J193" i="49"/>
  <c r="I193" i="49"/>
  <c r="H193" i="49"/>
  <c r="E191" i="42" s="1"/>
  <c r="L192" i="49"/>
  <c r="K192" i="49"/>
  <c r="J192" i="49"/>
  <c r="I192" i="49"/>
  <c r="H192" i="49"/>
  <c r="L191" i="49"/>
  <c r="K191" i="49"/>
  <c r="J191" i="49"/>
  <c r="I191" i="49"/>
  <c r="H191" i="49"/>
  <c r="E189" i="42" s="1"/>
  <c r="L190" i="49"/>
  <c r="K190" i="49"/>
  <c r="J190" i="49"/>
  <c r="I190" i="49"/>
  <c r="H190" i="49"/>
  <c r="E188" i="42" s="1"/>
  <c r="L189" i="49"/>
  <c r="K189" i="49"/>
  <c r="J189" i="49"/>
  <c r="I189" i="49"/>
  <c r="H189" i="49"/>
  <c r="L188" i="49"/>
  <c r="K188" i="49"/>
  <c r="J188" i="49"/>
  <c r="I188" i="49"/>
  <c r="H188" i="49"/>
  <c r="L187" i="49"/>
  <c r="K187" i="49"/>
  <c r="J187" i="49"/>
  <c r="I187" i="49"/>
  <c r="H187" i="49"/>
  <c r="E185" i="42" s="1"/>
  <c r="L186" i="49"/>
  <c r="K186" i="49"/>
  <c r="J186" i="49"/>
  <c r="I186" i="49"/>
  <c r="H186" i="49"/>
  <c r="E184" i="42" s="1"/>
  <c r="L185" i="49"/>
  <c r="K185" i="49"/>
  <c r="J185" i="49"/>
  <c r="I185" i="49"/>
  <c r="H185" i="49"/>
  <c r="E183" i="42" s="1"/>
  <c r="L184" i="49"/>
  <c r="K184" i="49"/>
  <c r="J184" i="49"/>
  <c r="I184" i="49"/>
  <c r="H184" i="49"/>
  <c r="L183" i="49"/>
  <c r="K183" i="49"/>
  <c r="J183" i="49"/>
  <c r="I183" i="49"/>
  <c r="H183" i="49"/>
  <c r="E181" i="42" s="1"/>
  <c r="L182" i="49"/>
  <c r="K182" i="49"/>
  <c r="J182" i="49"/>
  <c r="I182" i="49"/>
  <c r="H182" i="49"/>
  <c r="E180" i="42" s="1"/>
  <c r="L181" i="49"/>
  <c r="K181" i="49"/>
  <c r="J181" i="49"/>
  <c r="I181" i="49"/>
  <c r="H181" i="49"/>
  <c r="E179" i="42" s="1"/>
  <c r="L180" i="49"/>
  <c r="K180" i="49"/>
  <c r="J180" i="49"/>
  <c r="I180" i="49"/>
  <c r="H180" i="49"/>
  <c r="E178" i="42" s="1"/>
  <c r="L179" i="49"/>
  <c r="K179" i="49"/>
  <c r="J179" i="49"/>
  <c r="I179" i="49"/>
  <c r="H179" i="49"/>
  <c r="E177" i="42" s="1"/>
  <c r="L178" i="49"/>
  <c r="K178" i="49"/>
  <c r="J178" i="49"/>
  <c r="I178" i="49"/>
  <c r="H178" i="49"/>
  <c r="E176" i="42"/>
  <c r="L177" i="49"/>
  <c r="K177" i="49"/>
  <c r="J177" i="49"/>
  <c r="I177" i="49"/>
  <c r="H177" i="49"/>
  <c r="L176" i="49"/>
  <c r="K176" i="49"/>
  <c r="J176" i="49"/>
  <c r="I176" i="49"/>
  <c r="P176" i="49" s="1"/>
  <c r="F174" i="42" s="1"/>
  <c r="H176" i="49"/>
  <c r="E174" i="42" s="1"/>
  <c r="L175" i="49"/>
  <c r="K175" i="49"/>
  <c r="J175" i="49"/>
  <c r="I175" i="49"/>
  <c r="H175" i="49"/>
  <c r="E173" i="42" s="1"/>
  <c r="L174" i="49"/>
  <c r="K174" i="49"/>
  <c r="J174" i="49"/>
  <c r="I174" i="49"/>
  <c r="H174" i="49"/>
  <c r="L173" i="49"/>
  <c r="K173" i="49"/>
  <c r="J173" i="49"/>
  <c r="I173" i="49"/>
  <c r="H173" i="49"/>
  <c r="E171" i="42" s="1"/>
  <c r="L172" i="49"/>
  <c r="K172" i="49"/>
  <c r="J172" i="49"/>
  <c r="I172" i="49"/>
  <c r="H172" i="49"/>
  <c r="L171" i="49"/>
  <c r="K171" i="49"/>
  <c r="J171" i="49"/>
  <c r="I171" i="49"/>
  <c r="H171" i="49"/>
  <c r="L170" i="49"/>
  <c r="K170" i="49"/>
  <c r="J170" i="49"/>
  <c r="I170" i="49"/>
  <c r="H170" i="49"/>
  <c r="L169" i="49"/>
  <c r="P169" i="49" s="1"/>
  <c r="F167" i="42" s="1"/>
  <c r="K169" i="49"/>
  <c r="J169" i="49"/>
  <c r="I169" i="49"/>
  <c r="H169" i="49"/>
  <c r="L168" i="49"/>
  <c r="K168" i="49"/>
  <c r="J168" i="49"/>
  <c r="I168" i="49"/>
  <c r="H168" i="49"/>
  <c r="L167" i="49"/>
  <c r="K167" i="49"/>
  <c r="J167" i="49"/>
  <c r="I167" i="49"/>
  <c r="H167" i="49"/>
  <c r="L166" i="49"/>
  <c r="K166" i="49"/>
  <c r="J166" i="49"/>
  <c r="I166" i="49"/>
  <c r="H166" i="49"/>
  <c r="E164" i="42" s="1"/>
  <c r="L165" i="49"/>
  <c r="K165" i="49"/>
  <c r="J165" i="49"/>
  <c r="I165" i="49"/>
  <c r="H165" i="49"/>
  <c r="E163" i="42" s="1"/>
  <c r="L164" i="49"/>
  <c r="K164" i="49"/>
  <c r="J164" i="49"/>
  <c r="I164" i="49"/>
  <c r="H164" i="49"/>
  <c r="L163" i="49"/>
  <c r="K163" i="49"/>
  <c r="P163" i="49" s="1"/>
  <c r="F161" i="42" s="1"/>
  <c r="J163" i="49"/>
  <c r="I163" i="49"/>
  <c r="H163" i="49"/>
  <c r="E161" i="42" s="1"/>
  <c r="L162" i="49"/>
  <c r="K162" i="49"/>
  <c r="J162" i="49"/>
  <c r="I162" i="49"/>
  <c r="H162" i="49"/>
  <c r="L161" i="49"/>
  <c r="K161" i="49"/>
  <c r="J161" i="49"/>
  <c r="I161" i="49"/>
  <c r="H161" i="49"/>
  <c r="L160" i="49"/>
  <c r="K160" i="49"/>
  <c r="J160" i="49"/>
  <c r="I160" i="49"/>
  <c r="H160" i="49"/>
  <c r="E158" i="42" s="1"/>
  <c r="L159" i="49"/>
  <c r="K159" i="49"/>
  <c r="J159" i="49"/>
  <c r="I159" i="49"/>
  <c r="H159" i="49"/>
  <c r="E157" i="42" s="1"/>
  <c r="L158" i="49"/>
  <c r="K158" i="49"/>
  <c r="J158" i="49"/>
  <c r="I158" i="49"/>
  <c r="H158" i="49"/>
  <c r="E156" i="42" s="1"/>
  <c r="L157" i="49"/>
  <c r="K157" i="49"/>
  <c r="J157" i="49"/>
  <c r="I157" i="49"/>
  <c r="H157" i="49"/>
  <c r="E155" i="42" s="1"/>
  <c r="L156" i="49"/>
  <c r="K156" i="49"/>
  <c r="J156" i="49"/>
  <c r="I156" i="49"/>
  <c r="H156" i="49"/>
  <c r="L155" i="49"/>
  <c r="K155" i="49"/>
  <c r="J155" i="49"/>
  <c r="I155" i="49"/>
  <c r="H155" i="49"/>
  <c r="L154" i="49"/>
  <c r="K154" i="49"/>
  <c r="J154" i="49"/>
  <c r="I154" i="49"/>
  <c r="H154" i="49"/>
  <c r="L153" i="49"/>
  <c r="K153" i="49"/>
  <c r="J153" i="49"/>
  <c r="I153" i="49"/>
  <c r="H153" i="49"/>
  <c r="L152" i="49"/>
  <c r="K152" i="49"/>
  <c r="J152" i="49"/>
  <c r="I152" i="49"/>
  <c r="H152" i="49"/>
  <c r="L151" i="49"/>
  <c r="K151" i="49"/>
  <c r="J151" i="49"/>
  <c r="I151" i="49"/>
  <c r="H151" i="49"/>
  <c r="L150" i="49"/>
  <c r="K150" i="49"/>
  <c r="J150" i="49"/>
  <c r="I150" i="49"/>
  <c r="H150" i="49"/>
  <c r="E148" i="42" s="1"/>
  <c r="L149" i="49"/>
  <c r="K149" i="49"/>
  <c r="J149" i="49"/>
  <c r="I149" i="49"/>
  <c r="H149" i="49"/>
  <c r="E147" i="42" s="1"/>
  <c r="L148" i="49"/>
  <c r="K148" i="49"/>
  <c r="J148" i="49"/>
  <c r="I148" i="49"/>
  <c r="H148" i="49"/>
  <c r="L147" i="49"/>
  <c r="K147" i="49"/>
  <c r="P147" i="49" s="1"/>
  <c r="F145" i="42" s="1"/>
  <c r="J147" i="49"/>
  <c r="I147" i="49"/>
  <c r="H147" i="49"/>
  <c r="E145" i="42" s="1"/>
  <c r="L146" i="49"/>
  <c r="K146" i="49"/>
  <c r="J146" i="49"/>
  <c r="I146" i="49"/>
  <c r="H146" i="49"/>
  <c r="E144" i="42" s="1"/>
  <c r="L145" i="49"/>
  <c r="K145" i="49"/>
  <c r="J145" i="49"/>
  <c r="I145" i="49"/>
  <c r="H145" i="49"/>
  <c r="L144" i="49"/>
  <c r="K144" i="49"/>
  <c r="J144" i="49"/>
  <c r="I144" i="49"/>
  <c r="H144" i="49"/>
  <c r="E142" i="42"/>
  <c r="L143" i="49"/>
  <c r="K143" i="49"/>
  <c r="J143" i="49"/>
  <c r="I143" i="49"/>
  <c r="H143" i="49"/>
  <c r="E141" i="42" s="1"/>
  <c r="L142" i="49"/>
  <c r="K142" i="49"/>
  <c r="J142" i="49"/>
  <c r="I142" i="49"/>
  <c r="H142" i="49"/>
  <c r="E140" i="42" s="1"/>
  <c r="L141" i="49"/>
  <c r="K141" i="49"/>
  <c r="J141" i="49"/>
  <c r="I141" i="49"/>
  <c r="H141" i="49"/>
  <c r="L140" i="49"/>
  <c r="K140" i="49"/>
  <c r="J140" i="49"/>
  <c r="I140" i="49"/>
  <c r="H140" i="49"/>
  <c r="L139" i="49"/>
  <c r="K139" i="49"/>
  <c r="J139" i="49"/>
  <c r="I139" i="49"/>
  <c r="H139" i="49"/>
  <c r="L138" i="49"/>
  <c r="K138" i="49"/>
  <c r="J138" i="49"/>
  <c r="I138" i="49"/>
  <c r="H138" i="49"/>
  <c r="L137" i="49"/>
  <c r="K137" i="49"/>
  <c r="J137" i="49"/>
  <c r="I137" i="49"/>
  <c r="H137" i="49"/>
  <c r="L136" i="49"/>
  <c r="K136" i="49"/>
  <c r="J136" i="49"/>
  <c r="I136" i="49"/>
  <c r="H136" i="49"/>
  <c r="L135" i="49"/>
  <c r="K135" i="49"/>
  <c r="J135" i="49"/>
  <c r="I135" i="49"/>
  <c r="H135" i="49"/>
  <c r="L134" i="49"/>
  <c r="K134" i="49"/>
  <c r="J134" i="49"/>
  <c r="I134" i="49"/>
  <c r="H134" i="49"/>
  <c r="E132" i="42" s="1"/>
  <c r="L133" i="49"/>
  <c r="K133" i="49"/>
  <c r="J133" i="49"/>
  <c r="I133" i="49"/>
  <c r="H133" i="49"/>
  <c r="E131" i="42" s="1"/>
  <c r="L132" i="49"/>
  <c r="K132" i="49"/>
  <c r="J132" i="49"/>
  <c r="I132" i="49"/>
  <c r="H132" i="49"/>
  <c r="L131" i="49"/>
  <c r="K131" i="49"/>
  <c r="J131" i="49"/>
  <c r="I131" i="49"/>
  <c r="P131" i="49" s="1"/>
  <c r="H131" i="49"/>
  <c r="E129" i="42" s="1"/>
  <c r="L130" i="49"/>
  <c r="K130" i="49"/>
  <c r="J130" i="49"/>
  <c r="I130" i="49"/>
  <c r="H130" i="49"/>
  <c r="E128" i="42" s="1"/>
  <c r="L129" i="49"/>
  <c r="K129" i="49"/>
  <c r="J129" i="49"/>
  <c r="I129" i="49"/>
  <c r="H129" i="49"/>
  <c r="E127" i="42" s="1"/>
  <c r="L128" i="49"/>
  <c r="K128" i="49"/>
  <c r="J128" i="49"/>
  <c r="I128" i="49"/>
  <c r="H128" i="49"/>
  <c r="E126" i="42"/>
  <c r="L127" i="49"/>
  <c r="K127" i="49"/>
  <c r="P127" i="49" s="1"/>
  <c r="F125" i="42" s="1"/>
  <c r="J127" i="49"/>
  <c r="I127" i="49"/>
  <c r="H127" i="49"/>
  <c r="L126" i="49"/>
  <c r="K126" i="49"/>
  <c r="J126" i="49"/>
  <c r="I126" i="49"/>
  <c r="H126" i="49"/>
  <c r="L125" i="49"/>
  <c r="K125" i="49"/>
  <c r="J125" i="49"/>
  <c r="I125" i="49"/>
  <c r="P125" i="49" s="1"/>
  <c r="H125" i="49"/>
  <c r="L124" i="49"/>
  <c r="K124" i="49"/>
  <c r="J124" i="49"/>
  <c r="I124" i="49"/>
  <c r="H124" i="49"/>
  <c r="L123" i="49"/>
  <c r="K123" i="49"/>
  <c r="J123" i="49"/>
  <c r="I123" i="49"/>
  <c r="H123" i="49"/>
  <c r="E121" i="42" s="1"/>
  <c r="L122" i="49"/>
  <c r="K122" i="49"/>
  <c r="J122" i="49"/>
  <c r="I122" i="49"/>
  <c r="H122" i="49"/>
  <c r="L121" i="49"/>
  <c r="K121" i="49"/>
  <c r="J121" i="49"/>
  <c r="I121" i="49"/>
  <c r="P121" i="49" s="1"/>
  <c r="F119" i="42" s="1"/>
  <c r="H121" i="49"/>
  <c r="L120" i="49"/>
  <c r="K120" i="49"/>
  <c r="J120" i="49"/>
  <c r="I120" i="49"/>
  <c r="H120" i="49"/>
  <c r="E118" i="42" s="1"/>
  <c r="L119" i="49"/>
  <c r="K119" i="49"/>
  <c r="J119" i="49"/>
  <c r="I119" i="49"/>
  <c r="H119" i="49"/>
  <c r="L118" i="49"/>
  <c r="K118" i="49"/>
  <c r="J118" i="49"/>
  <c r="I118" i="49"/>
  <c r="H118" i="49"/>
  <c r="E116" i="42" s="1"/>
  <c r="L117" i="49"/>
  <c r="K117" i="49"/>
  <c r="J117" i="49"/>
  <c r="I117" i="49"/>
  <c r="P117" i="49" s="1"/>
  <c r="F115" i="42" s="1"/>
  <c r="H117" i="49"/>
  <c r="E115" i="42" s="1"/>
  <c r="L116" i="49"/>
  <c r="K116" i="49"/>
  <c r="J116" i="49"/>
  <c r="I116" i="49"/>
  <c r="H116" i="49"/>
  <c r="E114" i="42" s="1"/>
  <c r="L115" i="49"/>
  <c r="K115" i="49"/>
  <c r="J115" i="49"/>
  <c r="I115" i="49"/>
  <c r="H115" i="49"/>
  <c r="E113" i="42"/>
  <c r="L114" i="49"/>
  <c r="K114" i="49"/>
  <c r="J114" i="49"/>
  <c r="I114" i="49"/>
  <c r="H114" i="49"/>
  <c r="E112" i="42" s="1"/>
  <c r="L113" i="49"/>
  <c r="K113" i="49"/>
  <c r="J113" i="49"/>
  <c r="I113" i="49"/>
  <c r="H113" i="49"/>
  <c r="E111" i="42" s="1"/>
  <c r="L112" i="49"/>
  <c r="K112" i="49"/>
  <c r="J112" i="49"/>
  <c r="I112" i="49"/>
  <c r="H112" i="49"/>
  <c r="E110" i="42" s="1"/>
  <c r="L111" i="49"/>
  <c r="K111" i="49"/>
  <c r="J111" i="49"/>
  <c r="I111" i="49"/>
  <c r="H111" i="49"/>
  <c r="E109" i="42" s="1"/>
  <c r="L110" i="49"/>
  <c r="K110" i="49"/>
  <c r="J110" i="49"/>
  <c r="I110" i="49"/>
  <c r="H110" i="49"/>
  <c r="L109" i="49"/>
  <c r="K109" i="49"/>
  <c r="J109" i="49"/>
  <c r="I109" i="49"/>
  <c r="H109" i="49"/>
  <c r="L108" i="49"/>
  <c r="K108" i="49"/>
  <c r="J108" i="49"/>
  <c r="P108" i="49" s="1"/>
  <c r="F106" i="42" s="1"/>
  <c r="I108" i="49"/>
  <c r="H108" i="49"/>
  <c r="L107" i="49"/>
  <c r="K107" i="49"/>
  <c r="J107" i="49"/>
  <c r="I107" i="49"/>
  <c r="H107" i="49"/>
  <c r="L106" i="49"/>
  <c r="K106" i="49"/>
  <c r="J106" i="49"/>
  <c r="I106" i="49"/>
  <c r="H106" i="49"/>
  <c r="L105" i="49"/>
  <c r="K105" i="49"/>
  <c r="J105" i="49"/>
  <c r="I105" i="49"/>
  <c r="H105" i="49"/>
  <c r="L104" i="49"/>
  <c r="K104" i="49"/>
  <c r="J104" i="49"/>
  <c r="I104" i="49"/>
  <c r="H104" i="49"/>
  <c r="E102" i="42" s="1"/>
  <c r="L103" i="49"/>
  <c r="K103" i="49"/>
  <c r="J103" i="49"/>
  <c r="I103" i="49"/>
  <c r="H103" i="49"/>
  <c r="L102" i="49"/>
  <c r="K102" i="49"/>
  <c r="J102" i="49"/>
  <c r="I102" i="49"/>
  <c r="H102" i="49"/>
  <c r="E100" i="42" s="1"/>
  <c r="L101" i="49"/>
  <c r="K101" i="49"/>
  <c r="J101" i="49"/>
  <c r="I101" i="49"/>
  <c r="H101" i="49"/>
  <c r="E99" i="42" s="1"/>
  <c r="L100" i="49"/>
  <c r="K100" i="49"/>
  <c r="J100" i="49"/>
  <c r="I100" i="49"/>
  <c r="H100" i="49"/>
  <c r="E98" i="42" s="1"/>
  <c r="L99" i="49"/>
  <c r="K99" i="49"/>
  <c r="J99" i="49"/>
  <c r="I99" i="49"/>
  <c r="H99" i="49"/>
  <c r="E97" i="42" s="1"/>
  <c r="L98" i="49"/>
  <c r="K98" i="49"/>
  <c r="J98" i="49"/>
  <c r="I98" i="49"/>
  <c r="H98" i="49"/>
  <c r="E96" i="42" s="1"/>
  <c r="L97" i="49"/>
  <c r="K97" i="49"/>
  <c r="J97" i="49"/>
  <c r="I97" i="49"/>
  <c r="H97" i="49"/>
  <c r="L96" i="49"/>
  <c r="K96" i="49"/>
  <c r="J96" i="49"/>
  <c r="I96" i="49"/>
  <c r="H96" i="49"/>
  <c r="E94" i="42"/>
  <c r="L95" i="49"/>
  <c r="K95" i="49"/>
  <c r="J95" i="49"/>
  <c r="I95" i="49"/>
  <c r="H95" i="49"/>
  <c r="E93" i="42" s="1"/>
  <c r="L94" i="49"/>
  <c r="K94" i="49"/>
  <c r="J94" i="49"/>
  <c r="I94" i="49"/>
  <c r="H94" i="49"/>
  <c r="L93" i="49"/>
  <c r="K93" i="49"/>
  <c r="J93" i="49"/>
  <c r="I93" i="49"/>
  <c r="H93" i="49"/>
  <c r="L92" i="49"/>
  <c r="K92" i="49"/>
  <c r="J92" i="49"/>
  <c r="I92" i="49"/>
  <c r="H92" i="49"/>
  <c r="L91" i="49"/>
  <c r="K91" i="49"/>
  <c r="J91" i="49"/>
  <c r="I91" i="49"/>
  <c r="H91" i="49"/>
  <c r="E89" i="42" s="1"/>
  <c r="L90" i="49"/>
  <c r="K90" i="49"/>
  <c r="J90" i="49"/>
  <c r="I90" i="49"/>
  <c r="H90" i="49"/>
  <c r="E88" i="42" s="1"/>
  <c r="L89" i="49"/>
  <c r="K89" i="49"/>
  <c r="J89" i="49"/>
  <c r="I89" i="49"/>
  <c r="H89" i="49"/>
  <c r="L88" i="49"/>
  <c r="K88" i="49"/>
  <c r="J88" i="49"/>
  <c r="I88" i="49"/>
  <c r="H88" i="49"/>
  <c r="L87" i="49"/>
  <c r="K87" i="49"/>
  <c r="J87" i="49"/>
  <c r="I87" i="49"/>
  <c r="P87" i="49" s="1"/>
  <c r="F85" i="42" s="1"/>
  <c r="H87" i="49"/>
  <c r="E85" i="42" s="1"/>
  <c r="L86" i="49"/>
  <c r="K86" i="49"/>
  <c r="J86" i="49"/>
  <c r="I86" i="49"/>
  <c r="H86" i="49"/>
  <c r="L85" i="49"/>
  <c r="K85" i="49"/>
  <c r="J85" i="49"/>
  <c r="I85" i="49"/>
  <c r="H85" i="49"/>
  <c r="E83" i="42"/>
  <c r="L84" i="49"/>
  <c r="K84" i="49"/>
  <c r="J84" i="49"/>
  <c r="I84" i="49"/>
  <c r="P84" i="49" s="1"/>
  <c r="F82" i="42" s="1"/>
  <c r="H84" i="49"/>
  <c r="L83" i="49"/>
  <c r="K83" i="49"/>
  <c r="J83" i="49"/>
  <c r="I83" i="49"/>
  <c r="H83" i="49"/>
  <c r="E81" i="42" s="1"/>
  <c r="L82" i="49"/>
  <c r="K82" i="49"/>
  <c r="J82" i="49"/>
  <c r="I82" i="49"/>
  <c r="H82" i="49"/>
  <c r="E80" i="42" s="1"/>
  <c r="L81" i="49"/>
  <c r="K81" i="49"/>
  <c r="J81" i="49"/>
  <c r="I81" i="49"/>
  <c r="H81" i="49"/>
  <c r="L80" i="49"/>
  <c r="K80" i="49"/>
  <c r="J80" i="49"/>
  <c r="I80" i="49"/>
  <c r="H80" i="49"/>
  <c r="E78" i="42" s="1"/>
  <c r="L79" i="49"/>
  <c r="K79" i="49"/>
  <c r="J79" i="49"/>
  <c r="I79" i="49"/>
  <c r="H79" i="49"/>
  <c r="E77" i="42" s="1"/>
  <c r="L78" i="49"/>
  <c r="K78" i="49"/>
  <c r="J78" i="49"/>
  <c r="I78" i="49"/>
  <c r="H78" i="49"/>
  <c r="L77" i="49"/>
  <c r="K77" i="49"/>
  <c r="J77" i="49"/>
  <c r="I77" i="49"/>
  <c r="H77" i="49"/>
  <c r="L76" i="49"/>
  <c r="K76" i="49"/>
  <c r="J76" i="49"/>
  <c r="I76" i="49"/>
  <c r="H76" i="49"/>
  <c r="L75" i="49"/>
  <c r="K75" i="49"/>
  <c r="J75" i="49"/>
  <c r="I75" i="49"/>
  <c r="H75" i="49"/>
  <c r="L74" i="49"/>
  <c r="K74" i="49"/>
  <c r="J74" i="49"/>
  <c r="I74" i="49"/>
  <c r="H74" i="49"/>
  <c r="E72" i="42" s="1"/>
  <c r="L73" i="49"/>
  <c r="K73" i="49"/>
  <c r="J73" i="49"/>
  <c r="P73" i="49" s="1"/>
  <c r="F71" i="42" s="1"/>
  <c r="I73" i="49"/>
  <c r="H73" i="49"/>
  <c r="L72" i="49"/>
  <c r="K72" i="49"/>
  <c r="J72" i="49"/>
  <c r="I72" i="49"/>
  <c r="H72" i="49"/>
  <c r="L71" i="49"/>
  <c r="K71" i="49"/>
  <c r="J71" i="49"/>
  <c r="I71" i="49"/>
  <c r="H71" i="49"/>
  <c r="L70" i="49"/>
  <c r="K70" i="49"/>
  <c r="J70" i="49"/>
  <c r="I70" i="49"/>
  <c r="H70" i="49"/>
  <c r="E68" i="42" s="1"/>
  <c r="L69" i="49"/>
  <c r="K69" i="49"/>
  <c r="J69" i="49"/>
  <c r="I69" i="49"/>
  <c r="P69" i="49" s="1"/>
  <c r="F67" i="42" s="1"/>
  <c r="H69" i="49"/>
  <c r="E67" i="42" s="1"/>
  <c r="L68" i="49"/>
  <c r="K68" i="49"/>
  <c r="J68" i="49"/>
  <c r="I68" i="49"/>
  <c r="H68" i="49"/>
  <c r="L67" i="49"/>
  <c r="K67" i="49"/>
  <c r="J67" i="49"/>
  <c r="I67" i="49"/>
  <c r="P67" i="49" s="1"/>
  <c r="F65" i="42" s="1"/>
  <c r="H67" i="49"/>
  <c r="E65" i="42" s="1"/>
  <c r="L66" i="49"/>
  <c r="K66" i="49"/>
  <c r="J66" i="49"/>
  <c r="I66" i="49"/>
  <c r="H66" i="49"/>
  <c r="E64" i="42" s="1"/>
  <c r="L65" i="49"/>
  <c r="K65" i="49"/>
  <c r="J65" i="49"/>
  <c r="I65" i="49"/>
  <c r="H65" i="49"/>
  <c r="L64" i="49"/>
  <c r="K64" i="49"/>
  <c r="J64" i="49"/>
  <c r="I64" i="49"/>
  <c r="H64" i="49"/>
  <c r="E62" i="42" s="1"/>
  <c r="L63" i="49"/>
  <c r="K63" i="49"/>
  <c r="J63" i="49"/>
  <c r="P63" i="49" s="1"/>
  <c r="F61" i="42" s="1"/>
  <c r="I63" i="49"/>
  <c r="H63" i="49"/>
  <c r="E61" i="42" s="1"/>
  <c r="L62" i="49"/>
  <c r="K62" i="49"/>
  <c r="J62" i="49"/>
  <c r="I62" i="49"/>
  <c r="H62" i="49"/>
  <c r="E60" i="42" s="1"/>
  <c r="L61" i="49"/>
  <c r="K61" i="49"/>
  <c r="J61" i="49"/>
  <c r="I61" i="49"/>
  <c r="H61" i="49"/>
  <c r="E59" i="42" s="1"/>
  <c r="L60" i="49"/>
  <c r="K60" i="49"/>
  <c r="J60" i="49"/>
  <c r="I60" i="49"/>
  <c r="H60" i="49"/>
  <c r="E58" i="42" s="1"/>
  <c r="L59" i="49"/>
  <c r="K59" i="49"/>
  <c r="J59" i="49"/>
  <c r="I59" i="49"/>
  <c r="H59" i="49"/>
  <c r="L58" i="49"/>
  <c r="K58" i="49"/>
  <c r="J58" i="49"/>
  <c r="I58" i="49"/>
  <c r="H58" i="49"/>
  <c r="L57" i="49"/>
  <c r="K57" i="49"/>
  <c r="J57" i="49"/>
  <c r="I57" i="49"/>
  <c r="H57" i="49"/>
  <c r="L56" i="49"/>
  <c r="K56" i="49"/>
  <c r="J56" i="49"/>
  <c r="I56" i="49"/>
  <c r="H56" i="49"/>
  <c r="L55" i="49"/>
  <c r="K55" i="49"/>
  <c r="J55" i="49"/>
  <c r="I55" i="49"/>
  <c r="H55" i="49"/>
  <c r="E53" i="42" s="1"/>
  <c r="L54" i="49"/>
  <c r="K54" i="49"/>
  <c r="J54" i="49"/>
  <c r="I54" i="49"/>
  <c r="H54" i="49"/>
  <c r="E52" i="42" s="1"/>
  <c r="L53" i="49"/>
  <c r="K53" i="49"/>
  <c r="J53" i="49"/>
  <c r="I53" i="49"/>
  <c r="H53" i="49"/>
  <c r="E51" i="42" s="1"/>
  <c r="L52" i="49"/>
  <c r="K52" i="49"/>
  <c r="J52" i="49"/>
  <c r="I52" i="49"/>
  <c r="H52" i="49"/>
  <c r="L51" i="49"/>
  <c r="K51" i="49"/>
  <c r="J51" i="49"/>
  <c r="I51" i="49"/>
  <c r="H51" i="49"/>
  <c r="E49" i="42"/>
  <c r="L50" i="49"/>
  <c r="K50" i="49"/>
  <c r="J50" i="49"/>
  <c r="I50" i="49"/>
  <c r="H50" i="49"/>
  <c r="E48" i="42" s="1"/>
  <c r="L49" i="49"/>
  <c r="K49" i="49"/>
  <c r="J49" i="49"/>
  <c r="I49" i="49"/>
  <c r="H49" i="49"/>
  <c r="L48" i="49"/>
  <c r="K48" i="49"/>
  <c r="J48" i="49"/>
  <c r="I48" i="49"/>
  <c r="H48" i="49"/>
  <c r="E46" i="42" s="1"/>
  <c r="L47" i="49"/>
  <c r="K47" i="49"/>
  <c r="J47" i="49"/>
  <c r="I47" i="49"/>
  <c r="H47" i="49"/>
  <c r="E45" i="42" s="1"/>
  <c r="L46" i="49"/>
  <c r="K46" i="49"/>
  <c r="J46" i="49"/>
  <c r="I46" i="49"/>
  <c r="H46" i="49"/>
  <c r="E44" i="42" s="1"/>
  <c r="L45" i="49"/>
  <c r="K45" i="49"/>
  <c r="J45" i="49"/>
  <c r="I45" i="49"/>
  <c r="H45" i="49"/>
  <c r="E43" i="42" s="1"/>
  <c r="L44" i="49"/>
  <c r="K44" i="49"/>
  <c r="P44" i="49" s="1"/>
  <c r="F42" i="42" s="1"/>
  <c r="J44" i="49"/>
  <c r="I44" i="49"/>
  <c r="H44" i="49"/>
  <c r="L43" i="49"/>
  <c r="K43" i="49"/>
  <c r="J43" i="49"/>
  <c r="I43" i="49"/>
  <c r="H43" i="49"/>
  <c r="L42" i="49"/>
  <c r="K42" i="49"/>
  <c r="J42" i="49"/>
  <c r="I42" i="49"/>
  <c r="H42" i="49"/>
  <c r="L41" i="49"/>
  <c r="K41" i="49"/>
  <c r="J41" i="49"/>
  <c r="P41" i="49" s="1"/>
  <c r="F39" i="42" s="1"/>
  <c r="I41" i="49"/>
  <c r="H41" i="49"/>
  <c r="E39" i="42" s="1"/>
  <c r="L40" i="49"/>
  <c r="K40" i="49"/>
  <c r="J40" i="49"/>
  <c r="I40" i="49"/>
  <c r="H40" i="49"/>
  <c r="E38" i="42" s="1"/>
  <c r="L39" i="49"/>
  <c r="K39" i="49"/>
  <c r="J39" i="49"/>
  <c r="I39" i="49"/>
  <c r="H39" i="49"/>
  <c r="L38" i="49"/>
  <c r="K38" i="49"/>
  <c r="J38" i="49"/>
  <c r="I38" i="49"/>
  <c r="P38" i="49" s="1"/>
  <c r="F36" i="42" s="1"/>
  <c r="H38" i="49"/>
  <c r="L37" i="49"/>
  <c r="K37" i="49"/>
  <c r="J37" i="49"/>
  <c r="P37" i="49" s="1"/>
  <c r="F35" i="42" s="1"/>
  <c r="I37" i="49"/>
  <c r="H37" i="49"/>
  <c r="E35" i="42" s="1"/>
  <c r="L36" i="49"/>
  <c r="K36" i="49"/>
  <c r="J36" i="49"/>
  <c r="I36" i="49"/>
  <c r="H36" i="49"/>
  <c r="E34" i="42" s="1"/>
  <c r="L35" i="49"/>
  <c r="K35" i="49"/>
  <c r="P35" i="49" s="1"/>
  <c r="F33" i="42" s="1"/>
  <c r="J35" i="49"/>
  <c r="I35" i="49"/>
  <c r="H35" i="49"/>
  <c r="E33" i="42" s="1"/>
  <c r="L34" i="49"/>
  <c r="K34" i="49"/>
  <c r="J34" i="49"/>
  <c r="I34" i="49"/>
  <c r="H34" i="49"/>
  <c r="E32" i="42" s="1"/>
  <c r="L33" i="49"/>
  <c r="K33" i="49"/>
  <c r="J33" i="49"/>
  <c r="I33" i="49"/>
  <c r="H33" i="49"/>
  <c r="E31" i="42" s="1"/>
  <c r="L32" i="49"/>
  <c r="K32" i="49"/>
  <c r="J32" i="49"/>
  <c r="I32" i="49"/>
  <c r="H32" i="49"/>
  <c r="E30" i="42"/>
  <c r="L31" i="49"/>
  <c r="K31" i="49"/>
  <c r="J31" i="49"/>
  <c r="I31" i="49"/>
  <c r="H31" i="49"/>
  <c r="E29" i="42" s="1"/>
  <c r="L30" i="49"/>
  <c r="K30" i="49"/>
  <c r="J30" i="49"/>
  <c r="I30" i="49"/>
  <c r="H30" i="49"/>
  <c r="E28" i="42" s="1"/>
  <c r="L29" i="49"/>
  <c r="K29" i="49"/>
  <c r="J29" i="49"/>
  <c r="I29" i="49"/>
  <c r="H29" i="49"/>
  <c r="L28" i="49"/>
  <c r="K28" i="49"/>
  <c r="J28" i="49"/>
  <c r="I28" i="49"/>
  <c r="H28" i="49"/>
  <c r="E26" i="42" s="1"/>
  <c r="L27" i="49"/>
  <c r="K27" i="49"/>
  <c r="J27" i="49"/>
  <c r="I27" i="49"/>
  <c r="H27" i="49"/>
  <c r="E25" i="42" s="1"/>
  <c r="L26" i="49"/>
  <c r="K26" i="49"/>
  <c r="J26" i="49"/>
  <c r="I26" i="49"/>
  <c r="H26" i="49"/>
  <c r="L25" i="49"/>
  <c r="K25" i="49"/>
  <c r="J25" i="49"/>
  <c r="I25" i="49"/>
  <c r="H25" i="49"/>
  <c r="L24" i="49"/>
  <c r="K24" i="49"/>
  <c r="J24" i="49"/>
  <c r="I24" i="49"/>
  <c r="H24" i="49"/>
  <c r="L23" i="49"/>
  <c r="K23" i="49"/>
  <c r="J23" i="49"/>
  <c r="I23" i="49"/>
  <c r="H23" i="49"/>
  <c r="L22" i="49"/>
  <c r="K22" i="49"/>
  <c r="J22" i="49"/>
  <c r="I22" i="49"/>
  <c r="H22" i="49"/>
  <c r="L21" i="49"/>
  <c r="K21" i="49"/>
  <c r="J21" i="49"/>
  <c r="I21" i="49"/>
  <c r="H21" i="49"/>
  <c r="E19" i="42"/>
  <c r="L20" i="49"/>
  <c r="K20" i="49"/>
  <c r="J20" i="49"/>
  <c r="I20" i="49"/>
  <c r="H20" i="49"/>
  <c r="L19" i="49"/>
  <c r="K19" i="49"/>
  <c r="J19" i="49"/>
  <c r="I19" i="49"/>
  <c r="H19" i="49"/>
  <c r="E17" i="42" s="1"/>
  <c r="L18" i="49"/>
  <c r="K18" i="49"/>
  <c r="J18" i="49"/>
  <c r="I18" i="49"/>
  <c r="H18" i="49"/>
  <c r="E16" i="42" s="1"/>
  <c r="L17" i="49"/>
  <c r="K17" i="49"/>
  <c r="J17" i="49"/>
  <c r="I17" i="49"/>
  <c r="H17" i="49"/>
  <c r="L16" i="49"/>
  <c r="K16" i="49"/>
  <c r="J16" i="49"/>
  <c r="I16" i="49"/>
  <c r="H16" i="49"/>
  <c r="E14" i="42" s="1"/>
  <c r="L15" i="49"/>
  <c r="K15" i="49"/>
  <c r="J15" i="49"/>
  <c r="I15" i="49"/>
  <c r="H15" i="49"/>
  <c r="E13" i="42" s="1"/>
  <c r="L14" i="49"/>
  <c r="P14" i="49" s="1"/>
  <c r="F12" i="42" s="1"/>
  <c r="K14" i="49"/>
  <c r="J14" i="49"/>
  <c r="I14" i="49"/>
  <c r="H14" i="49"/>
  <c r="L13" i="49"/>
  <c r="K13" i="49"/>
  <c r="J13" i="49"/>
  <c r="I13" i="49"/>
  <c r="H13" i="49"/>
  <c r="L12" i="49"/>
  <c r="K12" i="49"/>
  <c r="J12" i="49"/>
  <c r="I12" i="49"/>
  <c r="H12" i="49"/>
  <c r="L11" i="49"/>
  <c r="K11" i="49"/>
  <c r="P11" i="49" s="1"/>
  <c r="F9" i="42" s="1"/>
  <c r="J11" i="49"/>
  <c r="I11" i="49"/>
  <c r="H11" i="49"/>
  <c r="L10" i="49"/>
  <c r="K10" i="49"/>
  <c r="J10" i="49"/>
  <c r="I10" i="49"/>
  <c r="H10" i="49"/>
  <c r="E8" i="42" s="1"/>
  <c r="L9" i="49"/>
  <c r="K9" i="49"/>
  <c r="J9" i="49"/>
  <c r="I9" i="49"/>
  <c r="H9" i="49"/>
  <c r="E7" i="42" s="1"/>
  <c r="L8" i="49"/>
  <c r="K8" i="49"/>
  <c r="J8" i="49"/>
  <c r="P8" i="49" s="1"/>
  <c r="F6" i="42" s="1"/>
  <c r="I8" i="49"/>
  <c r="H8" i="49"/>
  <c r="L7" i="49"/>
  <c r="K7" i="49"/>
  <c r="J7" i="49"/>
  <c r="I7" i="49"/>
  <c r="H7" i="49"/>
  <c r="L6" i="49"/>
  <c r="K6" i="49"/>
  <c r="J6" i="49"/>
  <c r="I6" i="49"/>
  <c r="H6" i="49"/>
  <c r="E4" i="42" s="1"/>
  <c r="A3" i="48"/>
  <c r="A4" i="48" s="1"/>
  <c r="A5" i="48" s="1"/>
  <c r="A6" i="48" s="1"/>
  <c r="A7" i="48" s="1"/>
  <c r="A8" i="48" s="1"/>
  <c r="A9" i="48" s="1"/>
  <c r="A10" i="48" s="1"/>
  <c r="A11" i="48" s="1"/>
  <c r="A12" i="48" s="1"/>
  <c r="A13" i="48" s="1"/>
  <c r="A14" i="48" s="1"/>
  <c r="A15" i="48" s="1"/>
  <c r="A16" i="48" s="1"/>
  <c r="A17" i="48" s="1"/>
  <c r="A18" i="48" s="1"/>
  <c r="A19" i="48" s="1"/>
  <c r="C20" i="47"/>
  <c r="C21" i="47" s="1"/>
  <c r="C22" i="47" s="1"/>
  <c r="C23" i="47" s="1"/>
  <c r="C24" i="47" s="1"/>
  <c r="C25" i="47" s="1"/>
  <c r="C26" i="47" s="1"/>
  <c r="C27" i="47" s="1"/>
  <c r="C28" i="47" s="1"/>
  <c r="C29" i="47" s="1"/>
  <c r="C30" i="47" s="1"/>
  <c r="C31" i="47" s="1"/>
  <c r="C32" i="47" s="1"/>
  <c r="C33" i="47" s="1"/>
  <c r="C34" i="47" s="1"/>
  <c r="C35" i="47" s="1"/>
  <c r="C36" i="47" s="1"/>
  <c r="C14" i="47"/>
  <c r="C15" i="47" s="1"/>
  <c r="C16" i="47" s="1"/>
  <c r="C17" i="47" s="1"/>
  <c r="C18" i="47" s="1"/>
  <c r="C5" i="47"/>
  <c r="C6" i="47" s="1"/>
  <c r="C7" i="47" s="1"/>
  <c r="C8" i="47" s="1"/>
  <c r="C9" i="47" s="1"/>
  <c r="C10" i="47" s="1"/>
  <c r="C11" i="47" s="1"/>
  <c r="C12" i="47" s="1"/>
  <c r="C171" i="46"/>
  <c r="C172" i="46"/>
  <c r="C168" i="46"/>
  <c r="C169" i="46" s="1"/>
  <c r="C76" i="46"/>
  <c r="C77" i="46" s="1"/>
  <c r="C78" i="46" s="1"/>
  <c r="C79" i="46" s="1"/>
  <c r="C80" i="46" s="1"/>
  <c r="C81" i="46" s="1"/>
  <c r="C82" i="46" s="1"/>
  <c r="C83" i="46" s="1"/>
  <c r="C84" i="46" s="1"/>
  <c r="C85" i="46" s="1"/>
  <c r="C86" i="46" s="1"/>
  <c r="C87" i="46" s="1"/>
  <c r="C88" i="46" s="1"/>
  <c r="C89" i="46" s="1"/>
  <c r="C90" i="46" s="1"/>
  <c r="C91" i="46" s="1"/>
  <c r="C92" i="46" s="1"/>
  <c r="C93" i="46" s="1"/>
  <c r="C94" i="46" s="1"/>
  <c r="C95" i="46" s="1"/>
  <c r="C96" i="46" s="1"/>
  <c r="C97" i="46" s="1"/>
  <c r="C98" i="46" s="1"/>
  <c r="C99" i="46" s="1"/>
  <c r="C100" i="46" s="1"/>
  <c r="C101" i="46" s="1"/>
  <c r="C102" i="46" s="1"/>
  <c r="C103" i="46" s="1"/>
  <c r="C104" i="46" s="1"/>
  <c r="C105" i="46" s="1"/>
  <c r="C106" i="46" s="1"/>
  <c r="C107" i="46" s="1"/>
  <c r="C108" i="46" s="1"/>
  <c r="C109" i="46" s="1"/>
  <c r="C110" i="46" s="1"/>
  <c r="C111" i="46" s="1"/>
  <c r="C112" i="46" s="1"/>
  <c r="C113" i="46" s="1"/>
  <c r="C114" i="46" s="1"/>
  <c r="C115" i="46" s="1"/>
  <c r="C116" i="46" s="1"/>
  <c r="C117" i="46" s="1"/>
  <c r="C118" i="46" s="1"/>
  <c r="C119" i="46" s="1"/>
  <c r="C120" i="46" s="1"/>
  <c r="C121" i="46" s="1"/>
  <c r="C122" i="46" s="1"/>
  <c r="C123" i="46" s="1"/>
  <c r="C124" i="46" s="1"/>
  <c r="C125" i="46" s="1"/>
  <c r="C126" i="46" s="1"/>
  <c r="C127" i="46" s="1"/>
  <c r="C128" i="46" s="1"/>
  <c r="C129" i="46" s="1"/>
  <c r="C130" i="46" s="1"/>
  <c r="C131" i="46" s="1"/>
  <c r="C132" i="46" s="1"/>
  <c r="C133" i="46" s="1"/>
  <c r="C134" i="46" s="1"/>
  <c r="C135" i="46" s="1"/>
  <c r="C136" i="46" s="1"/>
  <c r="C137" i="46" s="1"/>
  <c r="C138" i="46" s="1"/>
  <c r="C139" i="46" s="1"/>
  <c r="C140" i="46" s="1"/>
  <c r="C141" i="46" s="1"/>
  <c r="C142" i="46" s="1"/>
  <c r="C143" i="46" s="1"/>
  <c r="C144" i="46" s="1"/>
  <c r="C145" i="46" s="1"/>
  <c r="C146" i="46" s="1"/>
  <c r="C147" i="46" s="1"/>
  <c r="C148" i="46" s="1"/>
  <c r="C149" i="46" s="1"/>
  <c r="C150" i="46" s="1"/>
  <c r="C151" i="46" s="1"/>
  <c r="C152" i="46" s="1"/>
  <c r="C153" i="46" s="1"/>
  <c r="C154" i="46" s="1"/>
  <c r="C155" i="46" s="1"/>
  <c r="C156" i="46" s="1"/>
  <c r="C157" i="46" s="1"/>
  <c r="C158" i="46" s="1"/>
  <c r="C159" i="46" s="1"/>
  <c r="C160" i="46" s="1"/>
  <c r="C161" i="46" s="1"/>
  <c r="C162" i="46" s="1"/>
  <c r="C163" i="46" s="1"/>
  <c r="C164" i="46" s="1"/>
  <c r="C165" i="46" s="1"/>
  <c r="C166" i="46" s="1"/>
  <c r="C33" i="46"/>
  <c r="C34" i="46" s="1"/>
  <c r="C35" i="46" s="1"/>
  <c r="C36" i="46" s="1"/>
  <c r="C37" i="46" s="1"/>
  <c r="C38" i="46" s="1"/>
  <c r="C39" i="46" s="1"/>
  <c r="C40" i="46" s="1"/>
  <c r="C41" i="46" s="1"/>
  <c r="C42" i="46" s="1"/>
  <c r="C43" i="46" s="1"/>
  <c r="C44" i="46" s="1"/>
  <c r="C45" i="46" s="1"/>
  <c r="C46" i="46" s="1"/>
  <c r="C47" i="46" s="1"/>
  <c r="C48" i="46" s="1"/>
  <c r="C49" i="46" s="1"/>
  <c r="C50" i="46" s="1"/>
  <c r="C51" i="46" s="1"/>
  <c r="C52" i="46" s="1"/>
  <c r="C53" i="46" s="1"/>
  <c r="C54" i="46" s="1"/>
  <c r="C55" i="46" s="1"/>
  <c r="C56" i="46" s="1"/>
  <c r="C57" i="46" s="1"/>
  <c r="C58" i="46" s="1"/>
  <c r="C59" i="46" s="1"/>
  <c r="C60" i="46" s="1"/>
  <c r="C61" i="46" s="1"/>
  <c r="C62" i="46" s="1"/>
  <c r="C63" i="46" s="1"/>
  <c r="C64" i="46" s="1"/>
  <c r="C65" i="46" s="1"/>
  <c r="C66" i="46" s="1"/>
  <c r="C67" i="46" s="1"/>
  <c r="C68" i="46" s="1"/>
  <c r="C69" i="46" s="1"/>
  <c r="C70" i="46" s="1"/>
  <c r="C71" i="46" s="1"/>
  <c r="C72" i="46" s="1"/>
  <c r="C73" i="46" s="1"/>
  <c r="C74" i="46" s="1"/>
  <c r="C16" i="46"/>
  <c r="C17" i="46" s="1"/>
  <c r="C18" i="46" s="1"/>
  <c r="C19" i="46" s="1"/>
  <c r="C20" i="46" s="1"/>
  <c r="C21" i="46" s="1"/>
  <c r="C22" i="46" s="1"/>
  <c r="C23" i="46" s="1"/>
  <c r="C24" i="46" s="1"/>
  <c r="C25" i="46" s="1"/>
  <c r="C26" i="46" s="1"/>
  <c r="C27" i="46" s="1"/>
  <c r="C28" i="46" s="1"/>
  <c r="C29" i="46" s="1"/>
  <c r="C30" i="46" s="1"/>
  <c r="C14" i="46"/>
  <c r="C12" i="46"/>
  <c r="C5" i="46"/>
  <c r="C6" i="46"/>
  <c r="C7" i="46"/>
  <c r="C8" i="46" s="1"/>
  <c r="C9" i="46" s="1"/>
  <c r="C52" i="45"/>
  <c r="C53" i="45" s="1"/>
  <c r="C49" i="45"/>
  <c r="C50" i="45" s="1"/>
  <c r="C46" i="45"/>
  <c r="C47" i="45" s="1"/>
  <c r="C43" i="45"/>
  <c r="C44" i="45" s="1"/>
  <c r="C40" i="45"/>
  <c r="C41" i="45" s="1"/>
  <c r="C37" i="45"/>
  <c r="C38" i="45" s="1"/>
  <c r="C34" i="45"/>
  <c r="C35" i="45" s="1"/>
  <c r="C31" i="45"/>
  <c r="C32" i="45"/>
  <c r="C28" i="45"/>
  <c r="C29" i="45" s="1"/>
  <c r="C25" i="45"/>
  <c r="C26" i="45" s="1"/>
  <c r="C22" i="45"/>
  <c r="C23" i="45"/>
  <c r="C19" i="45"/>
  <c r="C20" i="45"/>
  <c r="C16" i="45"/>
  <c r="C17" i="45"/>
  <c r="C13" i="45"/>
  <c r="C14" i="45"/>
  <c r="C10" i="45"/>
  <c r="C11" i="45"/>
  <c r="E5" i="45"/>
  <c r="C5" i="45"/>
  <c r="C6" i="45"/>
  <c r="C7" i="45" s="1"/>
  <c r="C8" i="45" s="1"/>
  <c r="C52" i="44"/>
  <c r="C53" i="44" s="1"/>
  <c r="C49" i="44"/>
  <c r="C50" i="44" s="1"/>
  <c r="C46" i="44"/>
  <c r="C47" i="44"/>
  <c r="C43" i="44"/>
  <c r="C44" i="44"/>
  <c r="C40" i="44"/>
  <c r="C41" i="44"/>
  <c r="C37" i="44"/>
  <c r="C38" i="44" s="1"/>
  <c r="C34" i="44"/>
  <c r="C35" i="44"/>
  <c r="C31" i="44"/>
  <c r="C32" i="44" s="1"/>
  <c r="C28" i="44"/>
  <c r="C29" i="44"/>
  <c r="C25" i="44"/>
  <c r="C26" i="44" s="1"/>
  <c r="C22" i="44"/>
  <c r="C23" i="44" s="1"/>
  <c r="C19" i="44"/>
  <c r="C20" i="44"/>
  <c r="C16" i="44"/>
  <c r="C17" i="44" s="1"/>
  <c r="C13" i="44"/>
  <c r="C14" i="44" s="1"/>
  <c r="C10" i="44"/>
  <c r="C11" i="44" s="1"/>
  <c r="C5" i="44"/>
  <c r="C6" i="44" s="1"/>
  <c r="C7" i="44" s="1"/>
  <c r="C52" i="43"/>
  <c r="C53" i="43"/>
  <c r="C49" i="43"/>
  <c r="C50" i="43" s="1"/>
  <c r="C46" i="43"/>
  <c r="C47" i="43"/>
  <c r="C43" i="43"/>
  <c r="C44" i="43" s="1"/>
  <c r="C40" i="43"/>
  <c r="C41" i="43" s="1"/>
  <c r="C37" i="43"/>
  <c r="C38" i="43"/>
  <c r="C34" i="43"/>
  <c r="C35" i="43" s="1"/>
  <c r="C31" i="43"/>
  <c r="C32" i="43" s="1"/>
  <c r="C28" i="43"/>
  <c r="C29" i="43"/>
  <c r="C25" i="43"/>
  <c r="C26" i="43"/>
  <c r="C22" i="43"/>
  <c r="C23" i="43" s="1"/>
  <c r="C19" i="43"/>
  <c r="C20" i="43" s="1"/>
  <c r="C16" i="43"/>
  <c r="C17" i="43"/>
  <c r="C13" i="43"/>
  <c r="C14" i="43"/>
  <c r="C10" i="43"/>
  <c r="C11" i="43"/>
  <c r="C5" i="43"/>
  <c r="C6" i="43" s="1"/>
  <c r="C7" i="43"/>
  <c r="E268" i="42"/>
  <c r="D268" i="42"/>
  <c r="C268" i="42"/>
  <c r="E267" i="42"/>
  <c r="D267" i="42"/>
  <c r="E266" i="42"/>
  <c r="D266" i="42"/>
  <c r="C266" i="42"/>
  <c r="E265" i="42"/>
  <c r="D265" i="42"/>
  <c r="D264" i="42"/>
  <c r="D263" i="42"/>
  <c r="C263" i="42"/>
  <c r="B263" i="42"/>
  <c r="D262" i="42"/>
  <c r="E261" i="42"/>
  <c r="D261" i="42"/>
  <c r="C261" i="42"/>
  <c r="D260" i="42"/>
  <c r="E259" i="42"/>
  <c r="D259" i="42"/>
  <c r="C259" i="42"/>
  <c r="E258" i="42"/>
  <c r="D258" i="42"/>
  <c r="C258" i="42"/>
  <c r="E257" i="42"/>
  <c r="D257" i="42"/>
  <c r="C257" i="42"/>
  <c r="B257" i="42"/>
  <c r="D256" i="42"/>
  <c r="E255" i="42"/>
  <c r="D255" i="42"/>
  <c r="C255" i="42"/>
  <c r="D254" i="42"/>
  <c r="E253" i="42"/>
  <c r="D253" i="42"/>
  <c r="D252" i="42"/>
  <c r="E251" i="42"/>
  <c r="D251" i="42"/>
  <c r="C251" i="42"/>
  <c r="D250" i="42"/>
  <c r="E249" i="42"/>
  <c r="D249" i="42"/>
  <c r="E248" i="42"/>
  <c r="D248" i="42"/>
  <c r="C248" i="42"/>
  <c r="B248" i="42"/>
  <c r="E247" i="42"/>
  <c r="D247" i="42"/>
  <c r="E246" i="42"/>
  <c r="D246" i="42"/>
  <c r="E245" i="42"/>
  <c r="D245" i="42"/>
  <c r="E244" i="42"/>
  <c r="D244" i="42"/>
  <c r="C244" i="42"/>
  <c r="B244" i="42"/>
  <c r="D243" i="42"/>
  <c r="D242" i="42"/>
  <c r="D241" i="42"/>
  <c r="C241" i="42"/>
  <c r="B241" i="42"/>
  <c r="D240" i="42"/>
  <c r="E239" i="42"/>
  <c r="D239" i="42"/>
  <c r="D238" i="42"/>
  <c r="D237" i="42"/>
  <c r="C237" i="42"/>
  <c r="D236" i="42"/>
  <c r="E235" i="42"/>
  <c r="D235" i="42"/>
  <c r="E234" i="42"/>
  <c r="D234" i="42"/>
  <c r="C234" i="42"/>
  <c r="E233" i="42"/>
  <c r="D233" i="42"/>
  <c r="E232" i="42"/>
  <c r="D232" i="42"/>
  <c r="E231" i="42"/>
  <c r="D231" i="42"/>
  <c r="C231" i="42"/>
  <c r="E230" i="42"/>
  <c r="D230" i="42"/>
  <c r="D229" i="42"/>
  <c r="C229" i="42"/>
  <c r="E228" i="42"/>
  <c r="D228" i="42"/>
  <c r="D227" i="42"/>
  <c r="D226" i="42"/>
  <c r="C226" i="42"/>
  <c r="D225" i="42"/>
  <c r="D224" i="42"/>
  <c r="E223" i="42"/>
  <c r="D223" i="42"/>
  <c r="D222" i="42"/>
  <c r="C222" i="42"/>
  <c r="B222" i="42"/>
  <c r="D221" i="42"/>
  <c r="C221" i="42"/>
  <c r="E220" i="42"/>
  <c r="D220" i="42"/>
  <c r="E219" i="42"/>
  <c r="D219" i="42"/>
  <c r="E218" i="42"/>
  <c r="D218" i="42"/>
  <c r="D217" i="42"/>
  <c r="C217" i="42"/>
  <c r="E216" i="42"/>
  <c r="D216" i="42"/>
  <c r="D215" i="42"/>
  <c r="C215" i="42"/>
  <c r="D214" i="42"/>
  <c r="E213" i="42"/>
  <c r="D213" i="42"/>
  <c r="C213" i="42"/>
  <c r="D212" i="42"/>
  <c r="D211" i="42"/>
  <c r="C211" i="42"/>
  <c r="E210" i="42"/>
  <c r="D210" i="42"/>
  <c r="D209" i="42"/>
  <c r="C209" i="42"/>
  <c r="D208" i="42"/>
  <c r="E207" i="42"/>
  <c r="D207" i="42"/>
  <c r="C207" i="42"/>
  <c r="B207" i="42"/>
  <c r="D206" i="42"/>
  <c r="D205" i="42"/>
  <c r="E204" i="42"/>
  <c r="D204" i="42"/>
  <c r="C204" i="42"/>
  <c r="B204" i="42"/>
  <c r="E203" i="42"/>
  <c r="D203" i="42"/>
  <c r="D202" i="42"/>
  <c r="E201" i="42"/>
  <c r="D201" i="42"/>
  <c r="C201" i="42"/>
  <c r="E200" i="42"/>
  <c r="D200" i="42"/>
  <c r="E199" i="42"/>
  <c r="D199" i="42"/>
  <c r="D198" i="42"/>
  <c r="C198" i="42"/>
  <c r="E197" i="42"/>
  <c r="D197" i="42"/>
  <c r="E196" i="42"/>
  <c r="D196" i="42"/>
  <c r="E195" i="42"/>
  <c r="D195" i="42"/>
  <c r="D194" i="42"/>
  <c r="C194" i="42"/>
  <c r="B194" i="42"/>
  <c r="D193" i="42"/>
  <c r="D192" i="42"/>
  <c r="C192" i="42"/>
  <c r="D191" i="42"/>
  <c r="C191" i="42"/>
  <c r="E190" i="42"/>
  <c r="D190" i="42"/>
  <c r="D189" i="42"/>
  <c r="D188" i="42"/>
  <c r="E187" i="42"/>
  <c r="D187" i="42"/>
  <c r="C187" i="42"/>
  <c r="E186" i="42"/>
  <c r="D186" i="42"/>
  <c r="D185" i="42"/>
  <c r="C185" i="42"/>
  <c r="D184" i="42"/>
  <c r="D183" i="42"/>
  <c r="C183" i="42"/>
  <c r="E182" i="42"/>
  <c r="D182" i="42"/>
  <c r="D181" i="42"/>
  <c r="C181" i="42"/>
  <c r="B181" i="42"/>
  <c r="D180" i="42"/>
  <c r="D179" i="42"/>
  <c r="D178" i="42"/>
  <c r="C178" i="42"/>
  <c r="D177" i="42"/>
  <c r="D176" i="42"/>
  <c r="E175" i="42"/>
  <c r="D175" i="42"/>
  <c r="D174" i="42"/>
  <c r="C174" i="42"/>
  <c r="B174" i="42"/>
  <c r="D173" i="42"/>
  <c r="E172" i="42"/>
  <c r="D172" i="42"/>
  <c r="C172" i="42"/>
  <c r="D171" i="42"/>
  <c r="E170" i="42"/>
  <c r="D170" i="42"/>
  <c r="C170" i="42"/>
  <c r="E169" i="42"/>
  <c r="D169" i="42"/>
  <c r="E168" i="42"/>
  <c r="D168" i="42"/>
  <c r="C168" i="42"/>
  <c r="E167" i="42"/>
  <c r="D167" i="42"/>
  <c r="E166" i="42"/>
  <c r="D166" i="42"/>
  <c r="E165" i="42"/>
  <c r="D165" i="42"/>
  <c r="D164" i="42"/>
  <c r="C164" i="42"/>
  <c r="D163" i="42"/>
  <c r="E162" i="42"/>
  <c r="D162" i="42"/>
  <c r="D161" i="42"/>
  <c r="E160" i="42"/>
  <c r="D160" i="42"/>
  <c r="E159" i="42"/>
  <c r="D159" i="42"/>
  <c r="C159" i="42"/>
  <c r="B159" i="42"/>
  <c r="D158" i="42"/>
  <c r="D157" i="42"/>
  <c r="D156" i="42"/>
  <c r="D155" i="42"/>
  <c r="E154" i="42"/>
  <c r="D154" i="42"/>
  <c r="E153" i="42"/>
  <c r="D153" i="42"/>
  <c r="E152" i="42"/>
  <c r="D152" i="42"/>
  <c r="E151" i="42"/>
  <c r="D151" i="42"/>
  <c r="E150" i="42"/>
  <c r="D150" i="42"/>
  <c r="C150" i="42"/>
  <c r="E149" i="42"/>
  <c r="D149" i="42"/>
  <c r="D148" i="42"/>
  <c r="D147" i="42"/>
  <c r="E146" i="42"/>
  <c r="D146" i="42"/>
  <c r="D145" i="42"/>
  <c r="D144" i="42"/>
  <c r="E143" i="42"/>
  <c r="D143" i="42"/>
  <c r="D142" i="42"/>
  <c r="C142" i="42"/>
  <c r="D141" i="42"/>
  <c r="D140" i="42"/>
  <c r="E139" i="42"/>
  <c r="D139" i="42"/>
  <c r="E138" i="42"/>
  <c r="D138" i="42"/>
  <c r="C138" i="42"/>
  <c r="B138" i="42"/>
  <c r="E137" i="42"/>
  <c r="D137" i="42"/>
  <c r="E136" i="42"/>
  <c r="D136" i="42"/>
  <c r="E135" i="42"/>
  <c r="D135" i="42"/>
  <c r="E134" i="42"/>
  <c r="D134" i="42"/>
  <c r="C134" i="42"/>
  <c r="E133" i="42"/>
  <c r="D133" i="42"/>
  <c r="D132" i="42"/>
  <c r="D131" i="42"/>
  <c r="C131" i="42"/>
  <c r="E130" i="42"/>
  <c r="D130" i="42"/>
  <c r="D129" i="42"/>
  <c r="C129" i="42"/>
  <c r="B129" i="42"/>
  <c r="D128" i="42"/>
  <c r="C128" i="42"/>
  <c r="D127" i="42"/>
  <c r="D126" i="42"/>
  <c r="E125" i="42"/>
  <c r="D125" i="42"/>
  <c r="C125" i="42"/>
  <c r="E124" i="42"/>
  <c r="D124" i="42"/>
  <c r="C124" i="42"/>
  <c r="F123" i="42"/>
  <c r="E123" i="42"/>
  <c r="D123" i="42"/>
  <c r="C123" i="42"/>
  <c r="B123" i="42"/>
  <c r="E122" i="42"/>
  <c r="D122" i="42"/>
  <c r="D121" i="42"/>
  <c r="E120" i="42"/>
  <c r="D120" i="42"/>
  <c r="C120" i="42"/>
  <c r="B120" i="42"/>
  <c r="E119" i="42"/>
  <c r="D119" i="42"/>
  <c r="D118" i="42"/>
  <c r="C118" i="42"/>
  <c r="E117" i="42"/>
  <c r="D117" i="42"/>
  <c r="D116" i="42"/>
  <c r="D115" i="42"/>
  <c r="D114" i="42"/>
  <c r="D113" i="42"/>
  <c r="D112" i="42"/>
  <c r="C112" i="42"/>
  <c r="D111" i="42"/>
  <c r="C111" i="42"/>
  <c r="D110" i="42"/>
  <c r="D109" i="42"/>
  <c r="E108" i="42"/>
  <c r="D108" i="42"/>
  <c r="C108" i="42"/>
  <c r="E107" i="42"/>
  <c r="D107" i="42"/>
  <c r="E106" i="42"/>
  <c r="D106" i="42"/>
  <c r="E105" i="42"/>
  <c r="D105" i="42"/>
  <c r="C105" i="42"/>
  <c r="E104" i="42"/>
  <c r="D104" i="42"/>
  <c r="E103" i="42"/>
  <c r="D103" i="42"/>
  <c r="D102" i="42"/>
  <c r="E101" i="42"/>
  <c r="D101" i="42"/>
  <c r="D100" i="42"/>
  <c r="C100" i="42"/>
  <c r="D99" i="42"/>
  <c r="D98" i="42"/>
  <c r="D97" i="42"/>
  <c r="D96" i="42"/>
  <c r="E95" i="42"/>
  <c r="D95" i="42"/>
  <c r="D94" i="42"/>
  <c r="C94" i="42"/>
  <c r="D93" i="42"/>
  <c r="E92" i="42"/>
  <c r="D92" i="42"/>
  <c r="E91" i="42"/>
  <c r="D91" i="42"/>
  <c r="E90" i="42"/>
  <c r="D90" i="42"/>
  <c r="D89" i="42"/>
  <c r="D88" i="42"/>
  <c r="E87" i="42"/>
  <c r="D87" i="42"/>
  <c r="E86" i="42"/>
  <c r="D86" i="42"/>
  <c r="C86" i="42"/>
  <c r="D85" i="42"/>
  <c r="E84" i="42"/>
  <c r="D84" i="42"/>
  <c r="D83" i="42"/>
  <c r="E82" i="42"/>
  <c r="D82" i="42"/>
  <c r="D81" i="42"/>
  <c r="D80" i="42"/>
  <c r="C80" i="42"/>
  <c r="E79" i="42"/>
  <c r="D79" i="42"/>
  <c r="D78" i="42"/>
  <c r="D77" i="42"/>
  <c r="E76" i="42"/>
  <c r="D76" i="42"/>
  <c r="E75" i="42"/>
  <c r="D75" i="42"/>
  <c r="C75" i="42"/>
  <c r="E74" i="42"/>
  <c r="D74" i="42"/>
  <c r="E73" i="42"/>
  <c r="D73" i="42"/>
  <c r="D72" i="42"/>
  <c r="E71" i="42"/>
  <c r="D71" i="42"/>
  <c r="E70" i="42"/>
  <c r="D70" i="42"/>
  <c r="E69" i="42"/>
  <c r="D69" i="42"/>
  <c r="D68" i="42"/>
  <c r="D67" i="42"/>
  <c r="C67" i="42"/>
  <c r="E66" i="42"/>
  <c r="D66" i="42"/>
  <c r="D65" i="42"/>
  <c r="C65" i="42"/>
  <c r="D64" i="42"/>
  <c r="E63" i="42"/>
  <c r="D63" i="42"/>
  <c r="C63" i="42"/>
  <c r="D62" i="42"/>
  <c r="D61" i="42"/>
  <c r="D60" i="42"/>
  <c r="D59" i="42"/>
  <c r="D58" i="42"/>
  <c r="E57" i="42"/>
  <c r="D57" i="42"/>
  <c r="C57" i="42"/>
  <c r="E56" i="42"/>
  <c r="D56" i="42"/>
  <c r="E55" i="42"/>
  <c r="D55" i="42"/>
  <c r="E54" i="42"/>
  <c r="D54" i="42"/>
  <c r="C54" i="42"/>
  <c r="D53" i="42"/>
  <c r="D52" i="42"/>
  <c r="C52" i="42"/>
  <c r="D51" i="42"/>
  <c r="E50" i="42"/>
  <c r="D50" i="42"/>
  <c r="C50" i="42"/>
  <c r="D49" i="42"/>
  <c r="C49" i="42"/>
  <c r="D48" i="42"/>
  <c r="E47" i="42"/>
  <c r="D47" i="42"/>
  <c r="D46" i="42"/>
  <c r="C46" i="42"/>
  <c r="D45" i="42"/>
  <c r="D44" i="42"/>
  <c r="D43" i="42"/>
  <c r="C43" i="42"/>
  <c r="E42" i="42"/>
  <c r="D42" i="42"/>
  <c r="E41" i="42"/>
  <c r="D41" i="42"/>
  <c r="E40" i="42"/>
  <c r="D40" i="42"/>
  <c r="D39" i="42"/>
  <c r="C39" i="42"/>
  <c r="D38" i="42"/>
  <c r="C38" i="42"/>
  <c r="E37" i="42"/>
  <c r="D37" i="42"/>
  <c r="C37" i="42"/>
  <c r="E36" i="42"/>
  <c r="D36" i="42"/>
  <c r="D35" i="42"/>
  <c r="D34" i="42"/>
  <c r="D33" i="42"/>
  <c r="D32" i="42"/>
  <c r="D31" i="42"/>
  <c r="D30" i="42"/>
  <c r="D29" i="42"/>
  <c r="D28" i="42"/>
  <c r="C28" i="42"/>
  <c r="B28" i="42"/>
  <c r="E27" i="42"/>
  <c r="D27" i="42"/>
  <c r="D26" i="42"/>
  <c r="C26" i="42"/>
  <c r="D25" i="42"/>
  <c r="E24" i="42"/>
  <c r="D24" i="42"/>
  <c r="C24" i="42"/>
  <c r="E23" i="42"/>
  <c r="D23" i="42"/>
  <c r="E22" i="42"/>
  <c r="D22" i="42"/>
  <c r="C22" i="42"/>
  <c r="E21" i="42"/>
  <c r="D21" i="42"/>
  <c r="E20" i="42"/>
  <c r="D20" i="42"/>
  <c r="C20" i="42"/>
  <c r="D19" i="42"/>
  <c r="E18" i="42"/>
  <c r="D18" i="42"/>
  <c r="C18" i="42"/>
  <c r="B18" i="42"/>
  <c r="D17" i="42"/>
  <c r="D16" i="42"/>
  <c r="C16" i="42"/>
  <c r="E15" i="42"/>
  <c r="D15" i="42"/>
  <c r="D14" i="42"/>
  <c r="D13" i="42"/>
  <c r="E12" i="42"/>
  <c r="D12" i="42"/>
  <c r="C12" i="42"/>
  <c r="E11" i="42"/>
  <c r="D11" i="42"/>
  <c r="E10" i="42"/>
  <c r="D10" i="42"/>
  <c r="E9" i="42"/>
  <c r="D9" i="42"/>
  <c r="D8" i="42"/>
  <c r="D7" i="42"/>
  <c r="E6" i="42"/>
  <c r="D6" i="42"/>
  <c r="E5" i="42"/>
  <c r="D5" i="42"/>
  <c r="C5" i="42"/>
  <c r="B5" i="42"/>
  <c r="B4" i="42"/>
  <c r="C114" i="41"/>
  <c r="C115" i="41" s="1"/>
  <c r="C116" i="41" s="1"/>
  <c r="C117" i="41" s="1"/>
  <c r="C109" i="41"/>
  <c r="C110" i="41" s="1"/>
  <c r="C111" i="41" s="1"/>
  <c r="C112" i="41" s="1"/>
  <c r="C104" i="41"/>
  <c r="C105" i="41"/>
  <c r="C106" i="41" s="1"/>
  <c r="C107" i="41" s="1"/>
  <c r="C99" i="41"/>
  <c r="C100" i="41" s="1"/>
  <c r="C101" i="41" s="1"/>
  <c r="C102" i="41" s="1"/>
  <c r="C94" i="41"/>
  <c r="C95" i="41"/>
  <c r="C96" i="41" s="1"/>
  <c r="C97" i="41" s="1"/>
  <c r="C89" i="41"/>
  <c r="C90" i="41"/>
  <c r="C91" i="41" s="1"/>
  <c r="C92" i="41" s="1"/>
  <c r="C84" i="41"/>
  <c r="C85" i="41" s="1"/>
  <c r="C86" i="41" s="1"/>
  <c r="C87" i="41" s="1"/>
  <c r="C79" i="41"/>
  <c r="C80" i="41" s="1"/>
  <c r="C81" i="41" s="1"/>
  <c r="C82" i="41" s="1"/>
  <c r="C74" i="41"/>
  <c r="C75" i="41" s="1"/>
  <c r="C76" i="41" s="1"/>
  <c r="C77" i="41" s="1"/>
  <c r="C62" i="41"/>
  <c r="C63" i="41"/>
  <c r="C64" i="41" s="1"/>
  <c r="C65" i="41" s="1"/>
  <c r="C66" i="41" s="1"/>
  <c r="C67" i="41" s="1"/>
  <c r="C68" i="41" s="1"/>
  <c r="C69" i="41" s="1"/>
  <c r="C70" i="41" s="1"/>
  <c r="C71" i="41" s="1"/>
  <c r="C72" i="41" s="1"/>
  <c r="C60" i="41"/>
  <c r="C53" i="41"/>
  <c r="C54" i="41" s="1"/>
  <c r="C55" i="41" s="1"/>
  <c r="C56" i="41" s="1"/>
  <c r="C57" i="41" s="1"/>
  <c r="C58" i="41" s="1"/>
  <c r="C45" i="41"/>
  <c r="C46" i="41"/>
  <c r="C47" i="41"/>
  <c r="C48" i="41" s="1"/>
  <c r="C49" i="41" s="1"/>
  <c r="C50" i="41" s="1"/>
  <c r="C51" i="41" s="1"/>
  <c r="C40" i="41"/>
  <c r="C41" i="41" s="1"/>
  <c r="C42" i="41" s="1"/>
  <c r="C43" i="41" s="1"/>
  <c r="C35" i="41"/>
  <c r="C36" i="41"/>
  <c r="C37" i="41" s="1"/>
  <c r="C38" i="41" s="1"/>
  <c r="C30" i="41"/>
  <c r="C31" i="41" s="1"/>
  <c r="C32" i="41" s="1"/>
  <c r="C33" i="41" s="1"/>
  <c r="C15" i="41"/>
  <c r="C16" i="41" s="1"/>
  <c r="C17" i="41" s="1"/>
  <c r="C18" i="41" s="1"/>
  <c r="C19" i="41" s="1"/>
  <c r="C20" i="41" s="1"/>
  <c r="C21" i="41" s="1"/>
  <c r="C22" i="41" s="1"/>
  <c r="C23" i="41" s="1"/>
  <c r="C24" i="41" s="1"/>
  <c r="C25" i="41" s="1"/>
  <c r="C26" i="41" s="1"/>
  <c r="C27" i="41" s="1"/>
  <c r="C28" i="41" s="1"/>
  <c r="C11" i="41"/>
  <c r="C12" i="41" s="1"/>
  <c r="C13" i="41" s="1"/>
  <c r="E9" i="41"/>
  <c r="E8" i="41"/>
  <c r="C5" i="41"/>
  <c r="C6" i="41" s="1"/>
  <c r="C7" i="41" s="1"/>
  <c r="C8" i="41" s="1"/>
  <c r="C9" i="41" s="1"/>
  <c r="R223" i="40"/>
  <c r="R222" i="40"/>
  <c r="M222" i="40"/>
  <c r="R221" i="40"/>
  <c r="Y220" i="40" s="1"/>
  <c r="M221" i="40"/>
  <c r="W220" i="40"/>
  <c r="M220" i="40"/>
  <c r="X220" i="40" s="1"/>
  <c r="S219" i="40"/>
  <c r="R219" i="40"/>
  <c r="S218" i="40"/>
  <c r="R218" i="40"/>
  <c r="S217" i="40"/>
  <c r="R217" i="40"/>
  <c r="S216" i="40"/>
  <c r="R216" i="40"/>
  <c r="S215" i="40"/>
  <c r="R215" i="40"/>
  <c r="S214" i="40"/>
  <c r="R214" i="40"/>
  <c r="S213" i="40"/>
  <c r="R213" i="40"/>
  <c r="S212" i="40"/>
  <c r="R212" i="40"/>
  <c r="S211" i="40"/>
  <c r="R211" i="40"/>
  <c r="M211" i="40"/>
  <c r="S210" i="40"/>
  <c r="R210" i="40"/>
  <c r="M210" i="40"/>
  <c r="S209" i="40"/>
  <c r="R209" i="40"/>
  <c r="M209" i="40"/>
  <c r="S208" i="40"/>
  <c r="R208" i="40"/>
  <c r="M208" i="40"/>
  <c r="Y202" i="40"/>
  <c r="I202" i="40" s="1"/>
  <c r="H202" i="40" s="1"/>
  <c r="X202" i="40"/>
  <c r="M201" i="40"/>
  <c r="M200" i="40"/>
  <c r="M199" i="40"/>
  <c r="X198" i="40" s="1"/>
  <c r="I198" i="40" s="1"/>
  <c r="H198" i="40" s="1"/>
  <c r="R198" i="40"/>
  <c r="Y198" i="40" s="1"/>
  <c r="M198" i="40"/>
  <c r="M197" i="40"/>
  <c r="M196" i="40"/>
  <c r="R195" i="40"/>
  <c r="M195" i="40"/>
  <c r="R194" i="40"/>
  <c r="M194" i="40"/>
  <c r="X194" i="40" s="1"/>
  <c r="M193" i="40"/>
  <c r="M192" i="40"/>
  <c r="W191" i="40"/>
  <c r="Y191" i="40" s="1"/>
  <c r="R191" i="40"/>
  <c r="M191" i="40"/>
  <c r="S190" i="40"/>
  <c r="R190" i="40"/>
  <c r="S189" i="40"/>
  <c r="R189" i="40"/>
  <c r="S188" i="40"/>
  <c r="R188" i="40"/>
  <c r="S187" i="40"/>
  <c r="R187" i="40"/>
  <c r="S186" i="40"/>
  <c r="R186" i="40"/>
  <c r="S185" i="40"/>
  <c r="R185" i="40"/>
  <c r="S184" i="40"/>
  <c r="R184" i="40"/>
  <c r="S183" i="40"/>
  <c r="R183" i="40"/>
  <c r="S182" i="40"/>
  <c r="R182" i="40"/>
  <c r="S181" i="40"/>
  <c r="R181" i="40"/>
  <c r="S180" i="40"/>
  <c r="R180" i="40"/>
  <c r="S179" i="40"/>
  <c r="R179" i="40"/>
  <c r="S178" i="40"/>
  <c r="R178" i="40"/>
  <c r="S177" i="40"/>
  <c r="R177" i="40"/>
  <c r="S176" i="40"/>
  <c r="R176" i="40"/>
  <c r="S175" i="40"/>
  <c r="R175" i="40"/>
  <c r="S174" i="40"/>
  <c r="R174" i="40"/>
  <c r="R171" i="40"/>
  <c r="R172" i="40"/>
  <c r="R173" i="40"/>
  <c r="S173" i="40"/>
  <c r="M173" i="40"/>
  <c r="S172" i="40"/>
  <c r="M172" i="40"/>
  <c r="S171" i="40"/>
  <c r="M171" i="40"/>
  <c r="M170" i="40"/>
  <c r="M169" i="40"/>
  <c r="R167" i="40"/>
  <c r="Y167" i="40"/>
  <c r="M167" i="40"/>
  <c r="R166" i="40"/>
  <c r="Y166" i="40"/>
  <c r="M166" i="40"/>
  <c r="X167" i="40" s="1"/>
  <c r="I168" i="40" s="1"/>
  <c r="H168" i="40" s="1"/>
  <c r="M149" i="40"/>
  <c r="Y148" i="40"/>
  <c r="M148" i="40"/>
  <c r="X148" i="40" s="1"/>
  <c r="M146" i="40"/>
  <c r="V145" i="40"/>
  <c r="Y145" i="40" s="1"/>
  <c r="M145" i="40"/>
  <c r="J145" i="40"/>
  <c r="W143" i="40"/>
  <c r="Y143" i="40" s="1"/>
  <c r="X143" i="40"/>
  <c r="Y127" i="40"/>
  <c r="X127" i="40"/>
  <c r="Y124" i="40"/>
  <c r="X124" i="40"/>
  <c r="Y121" i="40"/>
  <c r="X121" i="40"/>
  <c r="Y118" i="40"/>
  <c r="X118" i="40"/>
  <c r="Y115" i="40"/>
  <c r="I115" i="40" s="1"/>
  <c r="H115" i="40" s="1"/>
  <c r="X115" i="40"/>
  <c r="Y112" i="40"/>
  <c r="I112" i="40" s="1"/>
  <c r="H112" i="40" s="1"/>
  <c r="X112" i="40"/>
  <c r="Y109" i="40"/>
  <c r="I109" i="40" s="1"/>
  <c r="H109" i="40" s="1"/>
  <c r="X109" i="40"/>
  <c r="Y106" i="40"/>
  <c r="X106" i="40"/>
  <c r="I106" i="40" s="1"/>
  <c r="H106" i="40" s="1"/>
  <c r="Y103" i="40"/>
  <c r="X103" i="40"/>
  <c r="H62" i="40"/>
  <c r="V57" i="40"/>
  <c r="Y55" i="40" s="1"/>
  <c r="X55" i="40"/>
  <c r="V53" i="40"/>
  <c r="Y51" i="40"/>
  <c r="I51" i="40" s="1"/>
  <c r="X51" i="40"/>
  <c r="I47" i="40"/>
  <c r="H47" i="40" s="1"/>
  <c r="Y45" i="40"/>
  <c r="X45" i="40"/>
  <c r="I45" i="40" s="1"/>
  <c r="H45" i="40" s="1"/>
  <c r="Y43" i="40"/>
  <c r="X43" i="40"/>
  <c r="Y41" i="40"/>
  <c r="X41" i="40"/>
  <c r="I41" i="40" s="1"/>
  <c r="H41" i="40" s="1"/>
  <c r="Y39" i="40"/>
  <c r="X39" i="40"/>
  <c r="Y37" i="40"/>
  <c r="X37" i="40"/>
  <c r="Y35" i="40"/>
  <c r="X35" i="40"/>
  <c r="I35" i="40" s="1"/>
  <c r="H35" i="40" s="1"/>
  <c r="Y33" i="40"/>
  <c r="X33" i="40"/>
  <c r="Y31" i="40"/>
  <c r="X31" i="40"/>
  <c r="Y29" i="40"/>
  <c r="I29" i="40" s="1"/>
  <c r="H29" i="40" s="1"/>
  <c r="X29" i="40"/>
  <c r="Y27" i="40"/>
  <c r="X27" i="40"/>
  <c r="Y25" i="40"/>
  <c r="X25" i="40"/>
  <c r="Y23" i="40"/>
  <c r="X23" i="40"/>
  <c r="Y21" i="40"/>
  <c r="I21" i="40" s="1"/>
  <c r="H21" i="40" s="1"/>
  <c r="X21" i="40"/>
  <c r="Y19" i="40"/>
  <c r="I19" i="40" s="1"/>
  <c r="H19" i="40" s="1"/>
  <c r="X19" i="40"/>
  <c r="Y17" i="40"/>
  <c r="I17" i="40" s="1"/>
  <c r="H17" i="40" s="1"/>
  <c r="X17" i="40"/>
  <c r="Y13" i="40"/>
  <c r="X13" i="40"/>
  <c r="Y9" i="40"/>
  <c r="X9" i="40"/>
  <c r="H8" i="40"/>
  <c r="M6" i="40"/>
  <c r="X6" i="40"/>
  <c r="W6" i="40"/>
  <c r="R6" i="40"/>
  <c r="Y6" i="40" s="1"/>
  <c r="P7" i="49"/>
  <c r="F5" i="42" s="1"/>
  <c r="I103" i="40"/>
  <c r="H103" i="40" s="1"/>
  <c r="P180" i="49"/>
  <c r="F178" i="42"/>
  <c r="P196" i="49"/>
  <c r="F194" i="42"/>
  <c r="I43" i="40"/>
  <c r="H43" i="40" s="1"/>
  <c r="I148" i="40"/>
  <c r="H148" i="40" s="1"/>
  <c r="P9" i="49"/>
  <c r="F7" i="42"/>
  <c r="P89" i="49"/>
  <c r="F87" i="42" s="1"/>
  <c r="P105" i="49"/>
  <c r="F103" i="42" s="1"/>
  <c r="P137" i="49"/>
  <c r="F135" i="42"/>
  <c r="T30" i="56"/>
  <c r="T78" i="56"/>
  <c r="T54" i="56"/>
  <c r="R66" i="56"/>
  <c r="T66" i="56"/>
  <c r="R54" i="56"/>
  <c r="R30" i="56"/>
  <c r="P264" i="49"/>
  <c r="F262" i="42" s="1"/>
  <c r="X208" i="40"/>
  <c r="P128" i="49"/>
  <c r="F126" i="42" s="1"/>
  <c r="P160" i="49"/>
  <c r="F158" i="42" s="1"/>
  <c r="P208" i="49"/>
  <c r="F206" i="42"/>
  <c r="P224" i="49"/>
  <c r="F222" i="42"/>
  <c r="P106" i="49"/>
  <c r="F104" i="42" s="1"/>
  <c r="P122" i="49"/>
  <c r="F120" i="42" s="1"/>
  <c r="P154" i="49"/>
  <c r="F152" i="42"/>
  <c r="P202" i="49"/>
  <c r="F200" i="42" s="1"/>
  <c r="P55" i="49"/>
  <c r="F53" i="42" s="1"/>
  <c r="P71" i="49"/>
  <c r="F69" i="42" s="1"/>
  <c r="P103" i="49"/>
  <c r="F101" i="42" s="1"/>
  <c r="P151" i="49"/>
  <c r="F149" i="42"/>
  <c r="P183" i="49"/>
  <c r="F181" i="42"/>
  <c r="P199" i="49"/>
  <c r="F197" i="42"/>
  <c r="P231" i="49"/>
  <c r="F229" i="42"/>
  <c r="P145" i="49"/>
  <c r="F143" i="42" s="1"/>
  <c r="P161" i="49"/>
  <c r="F159" i="42" s="1"/>
  <c r="P193" i="49"/>
  <c r="F191" i="42" s="1"/>
  <c r="P257" i="49"/>
  <c r="F255" i="42" s="1"/>
  <c r="P142" i="49"/>
  <c r="F140" i="42" s="1"/>
  <c r="P158" i="49"/>
  <c r="F156" i="42"/>
  <c r="P174" i="49"/>
  <c r="F172" i="42" s="1"/>
  <c r="P123" i="49"/>
  <c r="F121" i="42"/>
  <c r="P171" i="49"/>
  <c r="F169" i="42" s="1"/>
  <c r="P187" i="49"/>
  <c r="F185" i="42" s="1"/>
  <c r="P267" i="49"/>
  <c r="F265" i="42" s="1"/>
  <c r="P185" i="49"/>
  <c r="F183" i="42"/>
  <c r="P201" i="49"/>
  <c r="F199" i="42" s="1"/>
  <c r="P217" i="49"/>
  <c r="F215" i="42" s="1"/>
  <c r="P233" i="49"/>
  <c r="F231" i="42"/>
  <c r="P166" i="49"/>
  <c r="F164" i="42"/>
  <c r="P182" i="49"/>
  <c r="F180" i="42" s="1"/>
  <c r="P198" i="49"/>
  <c r="F196" i="42" s="1"/>
  <c r="P214" i="49"/>
  <c r="F212" i="42"/>
  <c r="P230" i="49"/>
  <c r="F228" i="42" s="1"/>
  <c r="P19" i="49"/>
  <c r="F17" i="42" s="1"/>
  <c r="P51" i="49"/>
  <c r="F49" i="42" s="1"/>
  <c r="P83" i="49"/>
  <c r="F81" i="42" s="1"/>
  <c r="F129" i="42"/>
  <c r="P179" i="49"/>
  <c r="F177" i="42" s="1"/>
  <c r="P195" i="49"/>
  <c r="F193" i="42" s="1"/>
  <c r="P211" i="49"/>
  <c r="F209" i="42" s="1"/>
  <c r="P227" i="49"/>
  <c r="F225" i="42" s="1"/>
  <c r="P16" i="49"/>
  <c r="F14" i="42" s="1"/>
  <c r="P48" i="49"/>
  <c r="F46" i="42"/>
  <c r="P64" i="49"/>
  <c r="F62" i="42"/>
  <c r="P80" i="49"/>
  <c r="F78" i="42"/>
  <c r="P13" i="49"/>
  <c r="F11" i="42" s="1"/>
  <c r="P29" i="49"/>
  <c r="F27" i="42" s="1"/>
  <c r="P45" i="49"/>
  <c r="F43" i="42"/>
  <c r="P61" i="49"/>
  <c r="F59" i="42" s="1"/>
  <c r="P77" i="49"/>
  <c r="F75" i="42"/>
  <c r="P141" i="49"/>
  <c r="F139" i="42" s="1"/>
  <c r="P157" i="49"/>
  <c r="F155" i="42" s="1"/>
  <c r="P173" i="49"/>
  <c r="F171" i="42" s="1"/>
  <c r="P205" i="49"/>
  <c r="F203" i="42" s="1"/>
  <c r="P221" i="49"/>
  <c r="F219" i="42" s="1"/>
  <c r="P253" i="49"/>
  <c r="F251" i="42" s="1"/>
  <c r="P10" i="49"/>
  <c r="F8" i="42" s="1"/>
  <c r="P42" i="49"/>
  <c r="F40" i="42" s="1"/>
  <c r="P58" i="49"/>
  <c r="F56" i="42" s="1"/>
  <c r="P74" i="49"/>
  <c r="F72" i="42" s="1"/>
  <c r="P90" i="49"/>
  <c r="F88" i="42"/>
  <c r="P218" i="49"/>
  <c r="F216" i="42" s="1"/>
  <c r="P266" i="49"/>
  <c r="F264" i="42"/>
  <c r="P167" i="49"/>
  <c r="F165" i="42" s="1"/>
  <c r="P263" i="49"/>
  <c r="F261" i="42" s="1"/>
  <c r="P260" i="49"/>
  <c r="F258" i="42"/>
  <c r="P17" i="49"/>
  <c r="F15" i="42" s="1"/>
  <c r="P33" i="49"/>
  <c r="F31" i="42" s="1"/>
  <c r="P49" i="49"/>
  <c r="F47" i="42" s="1"/>
  <c r="P65" i="49"/>
  <c r="F63" i="42" s="1"/>
  <c r="P97" i="49"/>
  <c r="F95" i="42" s="1"/>
  <c r="P113" i="49"/>
  <c r="F111" i="42" s="1"/>
  <c r="P241" i="49"/>
  <c r="F239" i="42" s="1"/>
  <c r="P190" i="49"/>
  <c r="F188" i="42" s="1"/>
  <c r="P254" i="49"/>
  <c r="F252" i="42"/>
  <c r="P27" i="49"/>
  <c r="F25" i="42"/>
  <c r="P43" i="49"/>
  <c r="F41" i="42" s="1"/>
  <c r="P59" i="49"/>
  <c r="F57" i="42" s="1"/>
  <c r="P91" i="49"/>
  <c r="F89" i="42" s="1"/>
  <c r="P107" i="49"/>
  <c r="F105" i="42" s="1"/>
  <c r="P139" i="49"/>
  <c r="F137" i="42" s="1"/>
  <c r="P155" i="49"/>
  <c r="F153" i="42" s="1"/>
  <c r="P235" i="49"/>
  <c r="F233" i="42" s="1"/>
  <c r="P251" i="49"/>
  <c r="F249" i="42" s="1"/>
  <c r="P24" i="49"/>
  <c r="F22" i="42" s="1"/>
  <c r="P40" i="49"/>
  <c r="F38" i="42"/>
  <c r="P72" i="49"/>
  <c r="F70" i="42" s="1"/>
  <c r="P88" i="49"/>
  <c r="F86" i="42"/>
  <c r="P104" i="49"/>
  <c r="F102" i="42" s="1"/>
  <c r="P136" i="49"/>
  <c r="F134" i="42" s="1"/>
  <c r="P152" i="49"/>
  <c r="F150" i="42" s="1"/>
  <c r="P168" i="49"/>
  <c r="F166" i="42" s="1"/>
  <c r="P184" i="49"/>
  <c r="F182" i="42" s="1"/>
  <c r="P216" i="49"/>
  <c r="F214" i="42"/>
  <c r="P232" i="49"/>
  <c r="F230" i="42" s="1"/>
  <c r="P248" i="49"/>
  <c r="F246" i="42" s="1"/>
  <c r="P133" i="49"/>
  <c r="F131" i="42"/>
  <c r="P149" i="49"/>
  <c r="F147" i="42" s="1"/>
  <c r="P165" i="49"/>
  <c r="F163" i="42" s="1"/>
  <c r="P213" i="49"/>
  <c r="F211" i="42" s="1"/>
  <c r="P229" i="49"/>
  <c r="F227" i="42" s="1"/>
  <c r="P245" i="49"/>
  <c r="F243" i="42"/>
  <c r="P34" i="49"/>
  <c r="F32" i="42" s="1"/>
  <c r="P50" i="49"/>
  <c r="F48" i="42" s="1"/>
  <c r="P82" i="49"/>
  <c r="F80" i="42"/>
  <c r="P98" i="49"/>
  <c r="F96" i="42" s="1"/>
  <c r="P114" i="49"/>
  <c r="F112" i="42" s="1"/>
  <c r="P130" i="49"/>
  <c r="F128" i="42" s="1"/>
  <c r="P146" i="49"/>
  <c r="F144" i="42" s="1"/>
  <c r="P162" i="49"/>
  <c r="F160" i="42" s="1"/>
  <c r="P178" i="49"/>
  <c r="F176" i="42"/>
  <c r="P210" i="49"/>
  <c r="F208" i="42" s="1"/>
  <c r="P226" i="49"/>
  <c r="F224" i="42" s="1"/>
  <c r="P242" i="49"/>
  <c r="F240" i="42" s="1"/>
  <c r="P15" i="49"/>
  <c r="F13" i="42" s="1"/>
  <c r="P31" i="49"/>
  <c r="F29" i="42"/>
  <c r="P79" i="49"/>
  <c r="F77" i="42"/>
  <c r="P95" i="49"/>
  <c r="F93" i="42"/>
  <c r="P143" i="49"/>
  <c r="F141" i="42" s="1"/>
  <c r="P159" i="49"/>
  <c r="F157" i="42" s="1"/>
  <c r="P207" i="49"/>
  <c r="F205" i="42" s="1"/>
  <c r="P223" i="49"/>
  <c r="F221" i="42" s="1"/>
  <c r="P239" i="49"/>
  <c r="F237" i="42" s="1"/>
  <c r="P140" i="49"/>
  <c r="F138" i="42"/>
  <c r="P156" i="49"/>
  <c r="F154" i="42"/>
  <c r="P204" i="49"/>
  <c r="F202" i="42" s="1"/>
  <c r="P220" i="49"/>
  <c r="F218" i="42"/>
  <c r="P236" i="49"/>
  <c r="F234" i="42"/>
  <c r="P6" i="49"/>
  <c r="F4" i="42" s="1"/>
  <c r="P22" i="49"/>
  <c r="F20" i="42" s="1"/>
  <c r="P46" i="49"/>
  <c r="F44" i="42" s="1"/>
  <c r="P54" i="49"/>
  <c r="F52" i="42"/>
  <c r="P62" i="49"/>
  <c r="F60" i="42"/>
  <c r="P70" i="49"/>
  <c r="F68" i="42"/>
  <c r="P94" i="49"/>
  <c r="F92" i="42" s="1"/>
  <c r="P110" i="49"/>
  <c r="F108" i="42" s="1"/>
  <c r="P118" i="49"/>
  <c r="F116" i="42" s="1"/>
  <c r="P12" i="49"/>
  <c r="F10" i="42" s="1"/>
  <c r="P20" i="49"/>
  <c r="F18" i="42" s="1"/>
  <c r="P28" i="49"/>
  <c r="F26" i="42" s="1"/>
  <c r="P36" i="49"/>
  <c r="F34" i="42"/>
  <c r="P52" i="49"/>
  <c r="F50" i="42"/>
  <c r="P68" i="49"/>
  <c r="F66" i="42"/>
  <c r="P76" i="49"/>
  <c r="F74" i="42"/>
  <c r="P92" i="49"/>
  <c r="F90" i="42"/>
  <c r="P100" i="49"/>
  <c r="F98" i="42"/>
  <c r="P116" i="49"/>
  <c r="F114" i="42" s="1"/>
  <c r="P124" i="49"/>
  <c r="F122" i="42" s="1"/>
  <c r="B22" i="39"/>
  <c r="D21" i="39"/>
  <c r="B21" i="39"/>
  <c r="D20" i="39"/>
  <c r="B20" i="39"/>
  <c r="D19" i="39"/>
  <c r="B19" i="39"/>
  <c r="D18" i="39"/>
  <c r="B18" i="39"/>
  <c r="D17" i="39"/>
  <c r="B17" i="39"/>
  <c r="B16" i="39"/>
  <c r="D15" i="39"/>
  <c r="B15" i="39"/>
  <c r="D14" i="39"/>
  <c r="B14" i="39"/>
  <c r="D13" i="39"/>
  <c r="B13" i="39"/>
  <c r="D12" i="39"/>
  <c r="B12" i="39"/>
  <c r="D11" i="39"/>
  <c r="B11" i="39"/>
  <c r="B10" i="39"/>
  <c r="D9" i="39"/>
  <c r="B9" i="39"/>
  <c r="D8" i="39"/>
  <c r="B8" i="39"/>
  <c r="D7" i="39"/>
  <c r="B7" i="39"/>
  <c r="D6" i="39"/>
  <c r="B6" i="39"/>
  <c r="D5" i="39"/>
  <c r="B5" i="39"/>
  <c r="B4" i="39"/>
  <c r="C41" i="38"/>
  <c r="C35" i="38"/>
  <c r="C29" i="38"/>
  <c r="C20" i="38"/>
  <c r="C12" i="38"/>
  <c r="D42" i="32"/>
  <c r="D41" i="32"/>
  <c r="D40" i="32"/>
  <c r="D39" i="32"/>
  <c r="D38" i="32"/>
  <c r="D20" i="32"/>
  <c r="F17" i="39"/>
  <c r="F21" i="39"/>
  <c r="E21" i="39" s="1"/>
  <c r="F20" i="39"/>
  <c r="F19" i="39"/>
  <c r="E19" i="39"/>
  <c r="F18" i="39"/>
  <c r="E18" i="39"/>
  <c r="F14" i="39"/>
  <c r="E14" i="39" s="1"/>
  <c r="F15" i="39"/>
  <c r="F9" i="39"/>
  <c r="E9" i="39"/>
  <c r="F6" i="39"/>
  <c r="E6" i="39" s="1"/>
  <c r="F16" i="39"/>
  <c r="F5" i="39"/>
  <c r="E5" i="39" s="1"/>
  <c r="F7" i="39"/>
  <c r="F8" i="39"/>
  <c r="E8" i="39"/>
  <c r="F4" i="39"/>
  <c r="E4" i="39"/>
  <c r="H4" i="13"/>
  <c r="H3" i="13"/>
  <c r="R11" i="2"/>
  <c r="O11" i="2"/>
  <c r="L11" i="2"/>
  <c r="F13" i="39"/>
  <c r="E13" i="39"/>
  <c r="F11" i="39"/>
  <c r="E11" i="39" s="1"/>
  <c r="F12" i="39"/>
  <c r="J5" i="53"/>
  <c r="Y31" i="54" l="1"/>
  <c r="Y31" i="55"/>
  <c r="Z113" i="55"/>
  <c r="Z26" i="55"/>
  <c r="Z28" i="55"/>
  <c r="Z30" i="55"/>
  <c r="Z50" i="55"/>
  <c r="Z52" i="55"/>
  <c r="Z54" i="55"/>
  <c r="Z74" i="55"/>
  <c r="Z76" i="55"/>
  <c r="Z78" i="55"/>
  <c r="Z98" i="55"/>
  <c r="Z100" i="55"/>
  <c r="Z102" i="55"/>
  <c r="Z122" i="55"/>
  <c r="Z124" i="55"/>
  <c r="Z126" i="55"/>
  <c r="Z27" i="55"/>
  <c r="Z29" i="55"/>
  <c r="Z51" i="55"/>
  <c r="Z53" i="55"/>
  <c r="Z75" i="55"/>
  <c r="Z77" i="55"/>
  <c r="Z99" i="55"/>
  <c r="Z101" i="55"/>
  <c r="Z123" i="55"/>
  <c r="Z125" i="55"/>
  <c r="AA19" i="55"/>
  <c r="Z89" i="55"/>
  <c r="Y103" i="55"/>
  <c r="AA36" i="55"/>
  <c r="AA38" i="55"/>
  <c r="AA40" i="55"/>
  <c r="AA60" i="55"/>
  <c r="AA62" i="55"/>
  <c r="AA64" i="55"/>
  <c r="AA84" i="55"/>
  <c r="AA86" i="55"/>
  <c r="AA88" i="55"/>
  <c r="AA108" i="55"/>
  <c r="AA110" i="55"/>
  <c r="AA112" i="55"/>
  <c r="AA132" i="55"/>
  <c r="AA134" i="55"/>
  <c r="AA136" i="55"/>
  <c r="AA37" i="55"/>
  <c r="AA39" i="55"/>
  <c r="AA61" i="55"/>
  <c r="AA63" i="55"/>
  <c r="AA85" i="55"/>
  <c r="AA87" i="55"/>
  <c r="AA109" i="55"/>
  <c r="AA111" i="55"/>
  <c r="AA133" i="55"/>
  <c r="AA135" i="55"/>
  <c r="AB18" i="55"/>
  <c r="Z65" i="55"/>
  <c r="Y10" i="55"/>
  <c r="Z137" i="55"/>
  <c r="Z41" i="55"/>
  <c r="Y55" i="55"/>
  <c r="Y9" i="55" s="1"/>
  <c r="Y11" i="55" s="1"/>
  <c r="Z113" i="54"/>
  <c r="Z89" i="54"/>
  <c r="Y103" i="54"/>
  <c r="Z26" i="54"/>
  <c r="Z28" i="54"/>
  <c r="Z30" i="54"/>
  <c r="Z50" i="54"/>
  <c r="Z52" i="54"/>
  <c r="Z54" i="54"/>
  <c r="Z74" i="54"/>
  <c r="Z79" i="54" s="1"/>
  <c r="Z76" i="54"/>
  <c r="Z78" i="54"/>
  <c r="Z98" i="54"/>
  <c r="Z100" i="54"/>
  <c r="Z102" i="54"/>
  <c r="Z122" i="54"/>
  <c r="Z124" i="54"/>
  <c r="Z126" i="54"/>
  <c r="Z27" i="54"/>
  <c r="Z29" i="54"/>
  <c r="Z51" i="54"/>
  <c r="Z53" i="54"/>
  <c r="Z75" i="54"/>
  <c r="Z77" i="54"/>
  <c r="Z99" i="54"/>
  <c r="Z101" i="54"/>
  <c r="Z123" i="54"/>
  <c r="Z125" i="54"/>
  <c r="AA19" i="54"/>
  <c r="AA36" i="54"/>
  <c r="AA38" i="54"/>
  <c r="AA40" i="54"/>
  <c r="AA60" i="54"/>
  <c r="AA62" i="54"/>
  <c r="AA64" i="54"/>
  <c r="AA84" i="54"/>
  <c r="AA86" i="54"/>
  <c r="AA88" i="54"/>
  <c r="AA108" i="54"/>
  <c r="AA110" i="54"/>
  <c r="AA112" i="54"/>
  <c r="AA132" i="54"/>
  <c r="AA134" i="54"/>
  <c r="AA136" i="54"/>
  <c r="AA37" i="54"/>
  <c r="AA39" i="54"/>
  <c r="AA61" i="54"/>
  <c r="AA63" i="54"/>
  <c r="AA85" i="54"/>
  <c r="AA87" i="54"/>
  <c r="AA109" i="54"/>
  <c r="AA111" i="54"/>
  <c r="AA133" i="54"/>
  <c r="AA135" i="54"/>
  <c r="AB18" i="54"/>
  <c r="Z65" i="54"/>
  <c r="Y79" i="54"/>
  <c r="Z137" i="54"/>
  <c r="Z41" i="54"/>
  <c r="I55" i="40"/>
  <c r="H55" i="40" s="1"/>
  <c r="F10" i="39"/>
  <c r="E10" i="39" s="1"/>
  <c r="I6" i="40"/>
  <c r="H6" i="40" s="1"/>
  <c r="X145" i="40"/>
  <c r="I145" i="40" s="1"/>
  <c r="H145" i="40" s="1"/>
  <c r="E17" i="39"/>
  <c r="C43" i="38"/>
  <c r="I33" i="40"/>
  <c r="H33" i="40" s="1"/>
  <c r="I37" i="40"/>
  <c r="H37" i="40" s="1"/>
  <c r="I127" i="40"/>
  <c r="H127" i="40" s="1"/>
  <c r="Y194" i="40"/>
  <c r="I194" i="40" s="1"/>
  <c r="H194" i="40" s="1"/>
  <c r="I220" i="40"/>
  <c r="H220" i="40" s="1"/>
  <c r="I9" i="40"/>
  <c r="H9" i="40" s="1"/>
  <c r="I23" i="40"/>
  <c r="H23" i="40" s="1"/>
  <c r="I27" i="40"/>
  <c r="H27" i="40" s="1"/>
  <c r="I31" i="40"/>
  <c r="H31" i="40" s="1"/>
  <c r="X166" i="40"/>
  <c r="I167" i="40" s="1"/>
  <c r="X191" i="40"/>
  <c r="I191" i="40" s="1"/>
  <c r="H191" i="40" s="1"/>
  <c r="Y208" i="40"/>
  <c r="I208" i="40" s="1"/>
  <c r="H208" i="40" s="1"/>
  <c r="P32" i="49"/>
  <c r="F30" i="42" s="1"/>
  <c r="P53" i="49"/>
  <c r="F51" i="42" s="1"/>
  <c r="P57" i="49"/>
  <c r="F55" i="42" s="1"/>
  <c r="P60" i="49"/>
  <c r="F58" i="42" s="1"/>
  <c r="P81" i="49"/>
  <c r="F79" i="42" s="1"/>
  <c r="P102" i="49"/>
  <c r="F100" i="42" s="1"/>
  <c r="P109" i="49"/>
  <c r="F107" i="42" s="1"/>
  <c r="P115" i="49"/>
  <c r="F113" i="42" s="1"/>
  <c r="P119" i="49"/>
  <c r="F117" i="42" s="1"/>
  <c r="P126" i="49"/>
  <c r="F124" i="42" s="1"/>
  <c r="P129" i="49"/>
  <c r="F127" i="42" s="1"/>
  <c r="P132" i="49"/>
  <c r="F130" i="42" s="1"/>
  <c r="P144" i="49"/>
  <c r="F142" i="42" s="1"/>
  <c r="P164" i="49"/>
  <c r="F162" i="42" s="1"/>
  <c r="P170" i="49"/>
  <c r="F168" i="42" s="1"/>
  <c r="P172" i="49"/>
  <c r="F170" i="42" s="1"/>
  <c r="P177" i="49"/>
  <c r="F175" i="42" s="1"/>
  <c r="P186" i="49"/>
  <c r="F184" i="42" s="1"/>
  <c r="P189" i="49"/>
  <c r="F187" i="42" s="1"/>
  <c r="P192" i="49"/>
  <c r="F190" i="42" s="1"/>
  <c r="P234" i="49"/>
  <c r="F232" i="42" s="1"/>
  <c r="P237" i="49"/>
  <c r="F235" i="42" s="1"/>
  <c r="P270" i="49"/>
  <c r="F268" i="42" s="1"/>
  <c r="AC32" i="56"/>
  <c r="AC80" i="56"/>
  <c r="AC83" i="56" s="1"/>
  <c r="E11" i="37"/>
  <c r="AM81" i="56"/>
  <c r="P18" i="49"/>
  <c r="F16" i="42" s="1"/>
  <c r="P23" i="49"/>
  <c r="F21" i="42" s="1"/>
  <c r="P25" i="49"/>
  <c r="F23" i="42" s="1"/>
  <c r="P26" i="49"/>
  <c r="F24" i="42" s="1"/>
  <c r="P75" i="49"/>
  <c r="F73" i="42" s="1"/>
  <c r="P78" i="49"/>
  <c r="F76" i="42" s="1"/>
  <c r="P86" i="49"/>
  <c r="F84" i="42" s="1"/>
  <c r="P93" i="49"/>
  <c r="F91" i="42" s="1"/>
  <c r="P96" i="49"/>
  <c r="F94" i="42" s="1"/>
  <c r="P99" i="49"/>
  <c r="F97" i="42" s="1"/>
  <c r="P112" i="49"/>
  <c r="F110" i="42" s="1"/>
  <c r="P135" i="49"/>
  <c r="F133" i="42" s="1"/>
  <c r="P138" i="49"/>
  <c r="F136" i="42" s="1"/>
  <c r="P197" i="49"/>
  <c r="F195" i="42" s="1"/>
  <c r="P200" i="49"/>
  <c r="F198" i="42" s="1"/>
  <c r="P203" i="49"/>
  <c r="F201" i="42" s="1"/>
  <c r="P206" i="49"/>
  <c r="F204" i="42" s="1"/>
  <c r="P212" i="49"/>
  <c r="F210" i="42" s="1"/>
  <c r="P215" i="49"/>
  <c r="F213" i="42" s="1"/>
  <c r="P222" i="49"/>
  <c r="F220" i="42" s="1"/>
  <c r="P225" i="49"/>
  <c r="F223" i="42" s="1"/>
  <c r="P228" i="49"/>
  <c r="F226" i="42" s="1"/>
  <c r="P244" i="49"/>
  <c r="F242" i="42" s="1"/>
  <c r="P247" i="49"/>
  <c r="F245" i="42" s="1"/>
  <c r="P250" i="49"/>
  <c r="F248" i="42" s="1"/>
  <c r="P256" i="49"/>
  <c r="F254" i="42" s="1"/>
  <c r="P259" i="49"/>
  <c r="F257" i="42" s="1"/>
  <c r="P262" i="49"/>
  <c r="F260" i="42" s="1"/>
  <c r="J26" i="37"/>
  <c r="I13" i="40"/>
  <c r="H13" i="40" s="1"/>
  <c r="I25" i="40"/>
  <c r="H25" i="40" s="1"/>
  <c r="I39" i="40"/>
  <c r="H39" i="40" s="1"/>
  <c r="I124" i="40"/>
  <c r="H124" i="40" s="1"/>
  <c r="I143" i="40"/>
  <c r="P21" i="49"/>
  <c r="F19" i="42" s="1"/>
  <c r="P30" i="49"/>
  <c r="F28" i="42" s="1"/>
  <c r="P39" i="49"/>
  <c r="F37" i="42" s="1"/>
  <c r="P56" i="49"/>
  <c r="F54" i="42" s="1"/>
  <c r="P66" i="49"/>
  <c r="F64" i="42" s="1"/>
  <c r="P101" i="49"/>
  <c r="F99" i="42" s="1"/>
  <c r="P111" i="49"/>
  <c r="F109" i="42" s="1"/>
  <c r="P120" i="49"/>
  <c r="F118" i="42" s="1"/>
  <c r="P150" i="49"/>
  <c r="F148" i="42" s="1"/>
  <c r="P153" i="49"/>
  <c r="F151" i="42" s="1"/>
  <c r="P175" i="49"/>
  <c r="F173" i="42" s="1"/>
  <c r="P181" i="49"/>
  <c r="F179" i="42" s="1"/>
  <c r="P188" i="49"/>
  <c r="F186" i="42" s="1"/>
  <c r="P191" i="49"/>
  <c r="F189" i="42" s="1"/>
  <c r="P194" i="49"/>
  <c r="F192" i="42" s="1"/>
  <c r="P219" i="49"/>
  <c r="F217" i="42" s="1"/>
  <c r="P243" i="49"/>
  <c r="F241" i="42" s="1"/>
  <c r="P246" i="49"/>
  <c r="F244" i="42" s="1"/>
  <c r="P249" i="49"/>
  <c r="F247" i="42" s="1"/>
  <c r="P252" i="49"/>
  <c r="F250" i="42" s="1"/>
  <c r="P255" i="49"/>
  <c r="F253" i="42" s="1"/>
  <c r="P258" i="49"/>
  <c r="F256" i="42" s="1"/>
  <c r="P261" i="49"/>
  <c r="F259" i="42" s="1"/>
  <c r="P268" i="49"/>
  <c r="F266" i="42" s="1"/>
  <c r="AC34" i="56"/>
  <c r="P269" i="49"/>
  <c r="F267" i="42" s="1"/>
  <c r="T83" i="56"/>
  <c r="F10" i="56" s="1"/>
  <c r="T71" i="56"/>
  <c r="F9" i="56" s="1"/>
  <c r="T35" i="56"/>
  <c r="F6" i="56" s="1"/>
  <c r="O28" i="54"/>
  <c r="O54" i="54"/>
  <c r="O78" i="54"/>
  <c r="O100" i="54"/>
  <c r="O51" i="55"/>
  <c r="O77" i="55"/>
  <c r="O123" i="55"/>
  <c r="O29" i="54"/>
  <c r="O75" i="54"/>
  <c r="O52" i="55"/>
  <c r="O78" i="55"/>
  <c r="O98" i="55"/>
  <c r="O124" i="55"/>
  <c r="O30" i="54"/>
  <c r="O102" i="54"/>
  <c r="O123" i="54"/>
  <c r="O27" i="55"/>
  <c r="O53" i="55"/>
  <c r="O99" i="55"/>
  <c r="O125" i="55"/>
  <c r="O50" i="54"/>
  <c r="O77" i="54"/>
  <c r="O126" i="54"/>
  <c r="O51" i="54"/>
  <c r="O122" i="54"/>
  <c r="O28" i="55"/>
  <c r="O54" i="55"/>
  <c r="O74" i="55"/>
  <c r="O100" i="55"/>
  <c r="O126" i="55"/>
  <c r="O52" i="54"/>
  <c r="O124" i="54"/>
  <c r="O29" i="55"/>
  <c r="O75" i="55"/>
  <c r="O101" i="55"/>
  <c r="O27" i="54"/>
  <c r="O98" i="54"/>
  <c r="O101" i="54"/>
  <c r="O26" i="54"/>
  <c r="O53" i="54"/>
  <c r="O99" i="54"/>
  <c r="O125" i="54"/>
  <c r="O30" i="55"/>
  <c r="O50" i="55"/>
  <c r="O76" i="55"/>
  <c r="O102" i="55"/>
  <c r="S42" i="56"/>
  <c r="S44" i="56"/>
  <c r="AD34" i="56"/>
  <c r="S56" i="56"/>
  <c r="S68" i="56"/>
  <c r="R83" i="56"/>
  <c r="R47" i="56"/>
  <c r="S33" i="56"/>
  <c r="S32" i="56"/>
  <c r="S57" i="56"/>
  <c r="S43" i="56"/>
  <c r="S55" i="56"/>
  <c r="S67" i="56"/>
  <c r="Q35" i="56"/>
  <c r="S34" i="56"/>
  <c r="S45" i="56"/>
  <c r="Q47" i="56"/>
  <c r="S82" i="56"/>
  <c r="S31" i="56"/>
  <c r="S30" i="56"/>
  <c r="AI42" i="56"/>
  <c r="AI43" i="56"/>
  <c r="AI44" i="56"/>
  <c r="AJ54" i="56"/>
  <c r="AM55" i="56"/>
  <c r="AM57" i="56"/>
  <c r="AK42" i="56"/>
  <c r="AJ43" i="56"/>
  <c r="AL44" i="56"/>
  <c r="AK54" i="56"/>
  <c r="AK56" i="56"/>
  <c r="AJ58" i="56"/>
  <c r="AL78" i="56"/>
  <c r="T59" i="56"/>
  <c r="F8" i="56" s="1"/>
  <c r="Q83" i="56"/>
  <c r="S70" i="56"/>
  <c r="AL42" i="56"/>
  <c r="AK43" i="56"/>
  <c r="AM46" i="56"/>
  <c r="AI55" i="56"/>
  <c r="AN56" i="56"/>
  <c r="AK58" i="56"/>
  <c r="AM79" i="56"/>
  <c r="H143" i="40"/>
  <c r="H167" i="40"/>
  <c r="I166" i="40"/>
  <c r="H166" i="40" s="1"/>
  <c r="H51" i="40"/>
  <c r="H50" i="40" s="1"/>
  <c r="I50" i="40"/>
  <c r="Y10" i="56"/>
  <c r="Y56" i="56" s="1"/>
  <c r="X80" i="56"/>
  <c r="P148" i="49"/>
  <c r="F146" i="42" s="1"/>
  <c r="X171" i="40"/>
  <c r="P85" i="49"/>
  <c r="F83" i="42" s="1"/>
  <c r="E7" i="39"/>
  <c r="P134" i="49"/>
  <c r="F132" i="42" s="1"/>
  <c r="I118" i="40"/>
  <c r="H118" i="40" s="1"/>
  <c r="E15" i="39"/>
  <c r="I121" i="40"/>
  <c r="H121" i="40" s="1"/>
  <c r="P47" i="49"/>
  <c r="F45" i="42" s="1"/>
  <c r="P209" i="49"/>
  <c r="F207" i="42" s="1"/>
  <c r="R35" i="56"/>
  <c r="Y171" i="40"/>
  <c r="B23" i="37"/>
  <c r="B29" i="37" s="1"/>
  <c r="AD56" i="56"/>
  <c r="AM43" i="56"/>
  <c r="AD82" i="56"/>
  <c r="AL80" i="56"/>
  <c r="AD79" i="56"/>
  <c r="AM80" i="56"/>
  <c r="AD69" i="56"/>
  <c r="AD78" i="56"/>
  <c r="AK44" i="56"/>
  <c r="S58" i="56"/>
  <c r="AD70" i="56"/>
  <c r="AI82" i="56"/>
  <c r="Y9" i="56"/>
  <c r="AE81" i="56" s="1"/>
  <c r="AD58" i="56"/>
  <c r="F11" i="37"/>
  <c r="AM44" i="56"/>
  <c r="AD68" i="56"/>
  <c r="AI45" i="56"/>
  <c r="AD66" i="56"/>
  <c r="AD80" i="56"/>
  <c r="H11" i="37"/>
  <c r="AJ45" i="56"/>
  <c r="S78" i="56"/>
  <c r="AD31" i="56"/>
  <c r="AD81" i="56"/>
  <c r="AD55" i="56"/>
  <c r="AK45" i="56"/>
  <c r="AM45" i="56"/>
  <c r="AD32" i="56"/>
  <c r="AC67" i="56"/>
  <c r="AN45" i="56"/>
  <c r="AD30" i="56"/>
  <c r="AC69" i="56"/>
  <c r="AI46" i="56"/>
  <c r="AD33" i="56"/>
  <c r="AC66" i="56"/>
  <c r="AK46" i="56"/>
  <c r="AC68" i="56"/>
  <c r="AL46" i="56"/>
  <c r="AD67" i="56"/>
  <c r="AM78" i="56"/>
  <c r="AK79" i="56"/>
  <c r="C15" i="55"/>
  <c r="C15" i="54"/>
  <c r="Z9" i="56"/>
  <c r="AF79" i="56" s="1"/>
  <c r="S80" i="56"/>
  <c r="S46" i="56"/>
  <c r="S81" i="56"/>
  <c r="AE33" i="56"/>
  <c r="AC35" i="56"/>
  <c r="AJ42" i="56"/>
  <c r="AN42" i="56"/>
  <c r="AL43" i="56"/>
  <c r="AJ44" i="56"/>
  <c r="AN44" i="56"/>
  <c r="AL45" i="56"/>
  <c r="AJ46" i="56"/>
  <c r="AN54" i="56"/>
  <c r="AJ56" i="56"/>
  <c r="AL57" i="56"/>
  <c r="AN58" i="56"/>
  <c r="AI78" i="56"/>
  <c r="AI79" i="56"/>
  <c r="AN79" i="56"/>
  <c r="AJ81" i="56"/>
  <c r="AK82" i="56"/>
  <c r="T47" i="56"/>
  <c r="F7" i="56" s="1"/>
  <c r="AK78" i="56"/>
  <c r="AJ79" i="56"/>
  <c r="AK80" i="56"/>
  <c r="AK81" i="56"/>
  <c r="AL82" i="56"/>
  <c r="Q71" i="56"/>
  <c r="S69" i="56"/>
  <c r="AK68" i="56"/>
  <c r="X31" i="56"/>
  <c r="W32" i="56"/>
  <c r="X34" i="56"/>
  <c r="W33" i="56"/>
  <c r="W34" i="56"/>
  <c r="E30" i="37"/>
  <c r="H30" i="37"/>
  <c r="C30" i="37"/>
  <c r="D30" i="37"/>
  <c r="G30" i="37"/>
  <c r="X55" i="56"/>
  <c r="W56" i="56"/>
  <c r="W55" i="56"/>
  <c r="W58" i="56"/>
  <c r="AL66" i="56"/>
  <c r="S66" i="56"/>
  <c r="R71" i="56"/>
  <c r="D11" i="37"/>
  <c r="G11" i="37"/>
  <c r="AI67" i="56"/>
  <c r="AI69" i="56"/>
  <c r="R59" i="56"/>
  <c r="Q59" i="56"/>
  <c r="AJ67" i="56"/>
  <c r="AM69" i="56"/>
  <c r="AI80" i="56"/>
  <c r="AI81" i="56"/>
  <c r="AN81" i="56"/>
  <c r="AM82" i="56"/>
  <c r="AK66" i="56"/>
  <c r="AM67" i="56"/>
  <c r="AK70" i="56"/>
  <c r="E16" i="39"/>
  <c r="S54" i="56"/>
  <c r="E20" i="39"/>
  <c r="E12" i="39"/>
  <c r="W67" i="56"/>
  <c r="W70" i="56"/>
  <c r="W68" i="56"/>
  <c r="W66" i="56"/>
  <c r="W69" i="56"/>
  <c r="X67" i="56"/>
  <c r="AC43" i="56"/>
  <c r="AC42" i="56"/>
  <c r="AC46" i="56"/>
  <c r="AC44" i="56"/>
  <c r="AD44" i="56"/>
  <c r="AD42" i="56"/>
  <c r="AD46" i="56"/>
  <c r="AN30" i="56"/>
  <c r="AL30" i="56"/>
  <c r="AN32" i="56"/>
  <c r="AL32" i="56"/>
  <c r="AM34" i="56"/>
  <c r="AK34" i="56"/>
  <c r="AI34" i="56"/>
  <c r="AI31" i="56"/>
  <c r="AK33" i="56"/>
  <c r="AI33" i="56"/>
  <c r="AJ30" i="56"/>
  <c r="AK32" i="56"/>
  <c r="AI32" i="56"/>
  <c r="AM31" i="56"/>
  <c r="AK31" i="56"/>
  <c r="AL33" i="56"/>
  <c r="AM33" i="56"/>
  <c r="AJ32" i="56"/>
  <c r="AL31" i="56"/>
  <c r="AM30" i="56"/>
  <c r="AM32" i="56"/>
  <c r="AL34" i="56"/>
  <c r="AN33" i="56"/>
  <c r="AJ33" i="56"/>
  <c r="AI30" i="56"/>
  <c r="AN31" i="56"/>
  <c r="AJ31" i="56"/>
  <c r="AD43" i="56"/>
  <c r="AD45" i="56"/>
  <c r="X68" i="56"/>
  <c r="AK30" i="56"/>
  <c r="AJ34" i="56"/>
  <c r="W45" i="56"/>
  <c r="W46" i="56"/>
  <c r="W79" i="56"/>
  <c r="W78" i="56"/>
  <c r="W80" i="56"/>
  <c r="X56" i="56"/>
  <c r="X69" i="56"/>
  <c r="X45" i="56"/>
  <c r="X32" i="56"/>
  <c r="X54" i="56"/>
  <c r="X57" i="56"/>
  <c r="X81" i="56"/>
  <c r="X82" i="56"/>
  <c r="X70" i="56"/>
  <c r="X46" i="56"/>
  <c r="X43" i="56"/>
  <c r="X30" i="56"/>
  <c r="X33" i="56"/>
  <c r="AC56" i="56"/>
  <c r="AC55" i="56"/>
  <c r="AC54" i="56"/>
  <c r="AC58" i="56"/>
  <c r="AD54" i="56"/>
  <c r="X42" i="56"/>
  <c r="W82" i="56"/>
  <c r="X79" i="56"/>
  <c r="W44" i="56"/>
  <c r="F30" i="37"/>
  <c r="W54" i="56"/>
  <c r="W57" i="56"/>
  <c r="X44" i="56"/>
  <c r="X66" i="56"/>
  <c r="X78" i="56"/>
  <c r="X58" i="56"/>
  <c r="W30" i="56"/>
  <c r="W31" i="56"/>
  <c r="AN67" i="56"/>
  <c r="AL68" i="56"/>
  <c r="AJ69" i="56"/>
  <c r="AN69" i="56"/>
  <c r="AL70" i="56"/>
  <c r="I11" i="37"/>
  <c r="AL54" i="56"/>
  <c r="AJ55" i="56"/>
  <c r="AN55" i="56"/>
  <c r="AL56" i="56"/>
  <c r="AJ57" i="56"/>
  <c r="AN57" i="56"/>
  <c r="AL58" i="56"/>
  <c r="AI66" i="56"/>
  <c r="AM66" i="56"/>
  <c r="AK67" i="56"/>
  <c r="AI68" i="56"/>
  <c r="AM68" i="56"/>
  <c r="AK69" i="56"/>
  <c r="AI70" i="56"/>
  <c r="AM70" i="56"/>
  <c r="AJ78" i="56"/>
  <c r="AN78" i="56"/>
  <c r="AL79" i="56"/>
  <c r="AJ80" i="56"/>
  <c r="AN80" i="56"/>
  <c r="AL81" i="56"/>
  <c r="AJ82" i="56"/>
  <c r="AI54" i="56"/>
  <c r="AM54" i="56"/>
  <c r="AK55" i="56"/>
  <c r="AI56" i="56"/>
  <c r="AM56" i="56"/>
  <c r="AK57" i="56"/>
  <c r="AI58" i="56"/>
  <c r="AJ66" i="56"/>
  <c r="AN66" i="56"/>
  <c r="AL67" i="56"/>
  <c r="AJ68" i="56"/>
  <c r="AN68" i="56"/>
  <c r="AL69" i="56"/>
  <c r="AJ70" i="56"/>
  <c r="Y9" i="54" l="1"/>
  <c r="Y11" i="54" s="1"/>
  <c r="Z10" i="55"/>
  <c r="Z103" i="55"/>
  <c r="AA65" i="55"/>
  <c r="Z79" i="55"/>
  <c r="AB36" i="55"/>
  <c r="AB38" i="55"/>
  <c r="AB40" i="55"/>
  <c r="AB60" i="55"/>
  <c r="AB62" i="55"/>
  <c r="AB64" i="55"/>
  <c r="AB84" i="55"/>
  <c r="AB86" i="55"/>
  <c r="AB88" i="55"/>
  <c r="AB108" i="55"/>
  <c r="AB110" i="55"/>
  <c r="AB112" i="55"/>
  <c r="AB132" i="55"/>
  <c r="AB134" i="55"/>
  <c r="AB136" i="55"/>
  <c r="AB37" i="55"/>
  <c r="AB39" i="55"/>
  <c r="AB61" i="55"/>
  <c r="AB63" i="55"/>
  <c r="AB85" i="55"/>
  <c r="AB87" i="55"/>
  <c r="AB109" i="55"/>
  <c r="AB111" i="55"/>
  <c r="AB133" i="55"/>
  <c r="AB135" i="55"/>
  <c r="AC18" i="55"/>
  <c r="AA137" i="55"/>
  <c r="AA41" i="55"/>
  <c r="AA10" i="55" s="1"/>
  <c r="Z55" i="55"/>
  <c r="AA113" i="55"/>
  <c r="AA26" i="55"/>
  <c r="AA28" i="55"/>
  <c r="AA30" i="55"/>
  <c r="AA50" i="55"/>
  <c r="AA52" i="55"/>
  <c r="AA54" i="55"/>
  <c r="AA74" i="55"/>
  <c r="AA79" i="55" s="1"/>
  <c r="AA76" i="55"/>
  <c r="AA78" i="55"/>
  <c r="AA98" i="55"/>
  <c r="AA103" i="55" s="1"/>
  <c r="AA100" i="55"/>
  <c r="AA102" i="55"/>
  <c r="AA122" i="55"/>
  <c r="AA124" i="55"/>
  <c r="AA126" i="55"/>
  <c r="AA27" i="55"/>
  <c r="AA29" i="55"/>
  <c r="AA51" i="55"/>
  <c r="AA53" i="55"/>
  <c r="AA75" i="55"/>
  <c r="AA77" i="55"/>
  <c r="AA99" i="55"/>
  <c r="AA101" i="55"/>
  <c r="AA123" i="55"/>
  <c r="AA125" i="55"/>
  <c r="AB19" i="55"/>
  <c r="Z127" i="55"/>
  <c r="Z31" i="55"/>
  <c r="AA89" i="55"/>
  <c r="Z10" i="54"/>
  <c r="AA65" i="54"/>
  <c r="AB36" i="54"/>
  <c r="AB38" i="54"/>
  <c r="AB40" i="54"/>
  <c r="AB60" i="54"/>
  <c r="AB62" i="54"/>
  <c r="AB64" i="54"/>
  <c r="AB84" i="54"/>
  <c r="AB86" i="54"/>
  <c r="AB88" i="54"/>
  <c r="AB108" i="54"/>
  <c r="AB110" i="54"/>
  <c r="AB112" i="54"/>
  <c r="AB132" i="54"/>
  <c r="AB134" i="54"/>
  <c r="AB136" i="54"/>
  <c r="AB37" i="54"/>
  <c r="AB39" i="54"/>
  <c r="AB61" i="54"/>
  <c r="AB63" i="54"/>
  <c r="AB85" i="54"/>
  <c r="AB87" i="54"/>
  <c r="AB109" i="54"/>
  <c r="AB111" i="54"/>
  <c r="AB133" i="54"/>
  <c r="AB135" i="54"/>
  <c r="AC18" i="54"/>
  <c r="Z55" i="54"/>
  <c r="AA137" i="54"/>
  <c r="AA41" i="54"/>
  <c r="AA26" i="54"/>
  <c r="AA28" i="54"/>
  <c r="AA30" i="54"/>
  <c r="AA50" i="54"/>
  <c r="AA52" i="54"/>
  <c r="AA54" i="54"/>
  <c r="AA74" i="54"/>
  <c r="AA76" i="54"/>
  <c r="AA78" i="54"/>
  <c r="AA98" i="54"/>
  <c r="AA100" i="54"/>
  <c r="AA102" i="54"/>
  <c r="AA122" i="54"/>
  <c r="AA124" i="54"/>
  <c r="AA126" i="54"/>
  <c r="AA27" i="54"/>
  <c r="AA29" i="54"/>
  <c r="AA51" i="54"/>
  <c r="AA53" i="54"/>
  <c r="AA75" i="54"/>
  <c r="AA77" i="54"/>
  <c r="AA99" i="54"/>
  <c r="AA101" i="54"/>
  <c r="AA123" i="54"/>
  <c r="AA125" i="54"/>
  <c r="AB19" i="54"/>
  <c r="Z127" i="54"/>
  <c r="Z31" i="54"/>
  <c r="Z9" i="54" s="1"/>
  <c r="AA113" i="54"/>
  <c r="Z103" i="54"/>
  <c r="AA89" i="54"/>
  <c r="AC71" i="56"/>
  <c r="I142" i="40"/>
  <c r="H142" i="40"/>
  <c r="AL71" i="56"/>
  <c r="AK47" i="56"/>
  <c r="F11" i="56"/>
  <c r="AE55" i="56"/>
  <c r="AF31" i="56"/>
  <c r="AF57" i="56"/>
  <c r="AE42" i="56"/>
  <c r="AF70" i="56"/>
  <c r="AE32" i="56"/>
  <c r="AE46" i="56"/>
  <c r="AF54" i="56"/>
  <c r="AE58" i="56"/>
  <c r="AE44" i="56"/>
  <c r="AA9" i="56"/>
  <c r="AG55" i="56" s="1"/>
  <c r="AF58" i="56"/>
  <c r="AF42" i="56"/>
  <c r="AF55" i="56"/>
  <c r="AF82" i="56"/>
  <c r="AF34" i="56"/>
  <c r="AF80" i="56"/>
  <c r="AF45" i="56"/>
  <c r="AF56" i="56"/>
  <c r="AE54" i="56"/>
  <c r="AE59" i="56" s="1"/>
  <c r="AE67" i="56"/>
  <c r="AE31" i="56"/>
  <c r="AE56" i="56"/>
  <c r="AF32" i="56"/>
  <c r="AF68" i="56"/>
  <c r="AF30" i="56"/>
  <c r="AF33" i="56"/>
  <c r="AF43" i="56"/>
  <c r="AF81" i="56"/>
  <c r="AF67" i="56"/>
  <c r="AE68" i="56"/>
  <c r="AE57" i="56"/>
  <c r="AE34" i="56"/>
  <c r="AE79" i="56"/>
  <c r="AD35" i="56"/>
  <c r="AD59" i="56"/>
  <c r="AE43" i="56"/>
  <c r="AE45" i="56"/>
  <c r="AF69" i="56"/>
  <c r="AF66" i="56"/>
  <c r="AF46" i="56"/>
  <c r="AF78" i="56"/>
  <c r="AF44" i="56"/>
  <c r="AE70" i="56"/>
  <c r="AE78" i="56"/>
  <c r="AD71" i="56"/>
  <c r="Y34" i="56"/>
  <c r="Y66" i="56"/>
  <c r="Y70" i="56"/>
  <c r="Z10" i="56"/>
  <c r="Z56" i="56" s="1"/>
  <c r="Y57" i="56"/>
  <c r="Y43" i="56"/>
  <c r="Y58" i="56"/>
  <c r="Y31" i="56"/>
  <c r="Y81" i="56"/>
  <c r="Y80" i="56"/>
  <c r="Y69" i="56"/>
  <c r="S59" i="56"/>
  <c r="E8" i="56" s="1"/>
  <c r="E40" i="32" s="1"/>
  <c r="AA10" i="56"/>
  <c r="AA81" i="56" s="1"/>
  <c r="Y68" i="56"/>
  <c r="Y32" i="56"/>
  <c r="Y54" i="56"/>
  <c r="Y46" i="56"/>
  <c r="Y33" i="56"/>
  <c r="Y44" i="56"/>
  <c r="Y67" i="56"/>
  <c r="Y30" i="56"/>
  <c r="Y78" i="56"/>
  <c r="S47" i="56"/>
  <c r="E7" i="56" s="1"/>
  <c r="E39" i="32" s="1"/>
  <c r="S83" i="56"/>
  <c r="E10" i="56" s="1"/>
  <c r="E42" i="32" s="1"/>
  <c r="Z68" i="56"/>
  <c r="S35" i="56"/>
  <c r="E6" i="56" s="1"/>
  <c r="E38" i="32" s="1"/>
  <c r="Y45" i="56"/>
  <c r="Y55" i="56"/>
  <c r="Z57" i="56"/>
  <c r="S71" i="56"/>
  <c r="E9" i="56" s="1"/>
  <c r="E41" i="32" s="1"/>
  <c r="AI47" i="56"/>
  <c r="AN47" i="56"/>
  <c r="AM47" i="56"/>
  <c r="W47" i="56"/>
  <c r="I171" i="40"/>
  <c r="H171" i="40" s="1"/>
  <c r="AM59" i="56"/>
  <c r="Z69" i="56"/>
  <c r="AM83" i="56"/>
  <c r="AE80" i="56"/>
  <c r="AE66" i="56"/>
  <c r="AE69" i="56"/>
  <c r="AE82" i="56"/>
  <c r="AE30" i="56"/>
  <c r="Y79" i="56"/>
  <c r="Y82" i="56"/>
  <c r="Y42" i="56"/>
  <c r="AK83" i="56"/>
  <c r="AD83" i="56"/>
  <c r="C45" i="55"/>
  <c r="C16" i="55"/>
  <c r="C45" i="54"/>
  <c r="C16" i="54"/>
  <c r="AJ47" i="56"/>
  <c r="AK59" i="56"/>
  <c r="AN83" i="56"/>
  <c r="AL59" i="56"/>
  <c r="AL47" i="56"/>
  <c r="AM71" i="56"/>
  <c r="W35" i="56"/>
  <c r="X83" i="56"/>
  <c r="AM35" i="56"/>
  <c r="Z45" i="56"/>
  <c r="AI83" i="56"/>
  <c r="X47" i="56"/>
  <c r="X71" i="56"/>
  <c r="AK35" i="56"/>
  <c r="Z81" i="56"/>
  <c r="AJ83" i="56"/>
  <c r="AI71" i="56"/>
  <c r="AN71" i="56"/>
  <c r="AN59" i="56"/>
  <c r="AC59" i="56"/>
  <c r="X35" i="56"/>
  <c r="Z43" i="56"/>
  <c r="W83" i="56"/>
  <c r="AJ35" i="56"/>
  <c r="AD47" i="56"/>
  <c r="AC47" i="56"/>
  <c r="W71" i="56"/>
  <c r="W59" i="56"/>
  <c r="AL35" i="56"/>
  <c r="AI59" i="56"/>
  <c r="AJ71" i="56"/>
  <c r="AL83" i="56"/>
  <c r="AK71" i="56"/>
  <c r="AJ59" i="56"/>
  <c r="X59" i="56"/>
  <c r="AI35" i="56"/>
  <c r="AN35" i="56"/>
  <c r="Z11" i="54" l="1"/>
  <c r="AA31" i="55"/>
  <c r="AB89" i="55"/>
  <c r="AB26" i="55"/>
  <c r="AB28" i="55"/>
  <c r="AB30" i="55"/>
  <c r="AB50" i="55"/>
  <c r="AB52" i="55"/>
  <c r="AB54" i="55"/>
  <c r="AB74" i="55"/>
  <c r="AB76" i="55"/>
  <c r="AB78" i="55"/>
  <c r="AB98" i="55"/>
  <c r="AB103" i="55" s="1"/>
  <c r="AB100" i="55"/>
  <c r="AB102" i="55"/>
  <c r="AB122" i="55"/>
  <c r="AB124" i="55"/>
  <c r="AB126" i="55"/>
  <c r="AC19" i="55"/>
  <c r="AB27" i="55"/>
  <c r="AB29" i="55"/>
  <c r="AB51" i="55"/>
  <c r="AB53" i="55"/>
  <c r="AB75" i="55"/>
  <c r="AB77" i="55"/>
  <c r="AB99" i="55"/>
  <c r="AB101" i="55"/>
  <c r="AB123" i="55"/>
  <c r="AB125" i="55"/>
  <c r="AB65" i="55"/>
  <c r="AC39" i="55"/>
  <c r="AC61" i="55"/>
  <c r="AC36" i="55"/>
  <c r="AC38" i="55"/>
  <c r="AC40" i="55"/>
  <c r="AC60" i="55"/>
  <c r="AC62" i="55"/>
  <c r="AC64" i="55"/>
  <c r="AC84" i="55"/>
  <c r="AC86" i="55"/>
  <c r="AC88" i="55"/>
  <c r="AC108" i="55"/>
  <c r="AC110" i="55"/>
  <c r="AC112" i="55"/>
  <c r="AC132" i="55"/>
  <c r="AC134" i="55"/>
  <c r="AC136" i="55"/>
  <c r="AC37" i="55"/>
  <c r="AC109" i="55"/>
  <c r="AC85" i="55"/>
  <c r="AC135" i="55"/>
  <c r="AC87" i="55"/>
  <c r="AC63" i="55"/>
  <c r="AC133" i="55"/>
  <c r="AC111" i="55"/>
  <c r="AB137" i="55"/>
  <c r="AB41" i="55"/>
  <c r="AA127" i="55"/>
  <c r="Z9" i="55"/>
  <c r="Z11" i="55" s="1"/>
  <c r="AA55" i="55"/>
  <c r="AB113" i="55"/>
  <c r="AB113" i="54"/>
  <c r="AA55" i="54"/>
  <c r="AB26" i="54"/>
  <c r="AB28" i="54"/>
  <c r="AB30" i="54"/>
  <c r="AB50" i="54"/>
  <c r="AB52" i="54"/>
  <c r="AB54" i="54"/>
  <c r="AB74" i="54"/>
  <c r="AB76" i="54"/>
  <c r="AB78" i="54"/>
  <c r="AB98" i="54"/>
  <c r="AB103" i="54" s="1"/>
  <c r="AB100" i="54"/>
  <c r="AB102" i="54"/>
  <c r="AB122" i="54"/>
  <c r="AB124" i="54"/>
  <c r="AB126" i="54"/>
  <c r="AC19" i="54"/>
  <c r="AB27" i="54"/>
  <c r="AB29" i="54"/>
  <c r="AB51" i="54"/>
  <c r="AB53" i="54"/>
  <c r="AB75" i="54"/>
  <c r="AB77" i="54"/>
  <c r="AB99" i="54"/>
  <c r="AB101" i="54"/>
  <c r="AB123" i="54"/>
  <c r="AB125" i="54"/>
  <c r="AB89" i="54"/>
  <c r="AA127" i="54"/>
  <c r="AA31" i="54"/>
  <c r="AA10" i="54"/>
  <c r="AB65" i="54"/>
  <c r="AA103" i="54"/>
  <c r="AC37" i="54"/>
  <c r="AC109" i="54"/>
  <c r="AC63" i="54"/>
  <c r="AC61" i="54"/>
  <c r="AC36" i="54"/>
  <c r="AC38" i="54"/>
  <c r="AC40" i="54"/>
  <c r="AC60" i="54"/>
  <c r="AC62" i="54"/>
  <c r="AC64" i="54"/>
  <c r="AC84" i="54"/>
  <c r="AC86" i="54"/>
  <c r="AC88" i="54"/>
  <c r="AC108" i="54"/>
  <c r="AC110" i="54"/>
  <c r="AC112" i="54"/>
  <c r="AC132" i="54"/>
  <c r="AC134" i="54"/>
  <c r="AC136" i="54"/>
  <c r="AC39" i="54"/>
  <c r="AC133" i="54"/>
  <c r="AC87" i="54"/>
  <c r="AC135" i="54"/>
  <c r="AC111" i="54"/>
  <c r="AC85" i="54"/>
  <c r="AB137" i="54"/>
  <c r="AB41" i="54"/>
  <c r="AA79" i="54"/>
  <c r="H8" i="37"/>
  <c r="AG44" i="56"/>
  <c r="AE47" i="56"/>
  <c r="AG58" i="56"/>
  <c r="AF47" i="56"/>
  <c r="AF83" i="56"/>
  <c r="AA80" i="56"/>
  <c r="AA56" i="56"/>
  <c r="AA57" i="56"/>
  <c r="AA30" i="56"/>
  <c r="Z58" i="56"/>
  <c r="AB10" i="56"/>
  <c r="AB70" i="56" s="1"/>
  <c r="Z30" i="56"/>
  <c r="Z70" i="56"/>
  <c r="Z31" i="56"/>
  <c r="AG79" i="56"/>
  <c r="AG82" i="56"/>
  <c r="AG66" i="56"/>
  <c r="AB9" i="56"/>
  <c r="AH81" i="56" s="1"/>
  <c r="AG34" i="56"/>
  <c r="AG69" i="56"/>
  <c r="AG32" i="56"/>
  <c r="AG31" i="56"/>
  <c r="AG30" i="56"/>
  <c r="AG67" i="56"/>
  <c r="AG70" i="56"/>
  <c r="AG80" i="56"/>
  <c r="AG57" i="56"/>
  <c r="AG78" i="56"/>
  <c r="AG45" i="56"/>
  <c r="AG68" i="56"/>
  <c r="AG54" i="56"/>
  <c r="AG46" i="56"/>
  <c r="AG43" i="56"/>
  <c r="AG42" i="56"/>
  <c r="AG56" i="56"/>
  <c r="AG81" i="56"/>
  <c r="AG33" i="56"/>
  <c r="AF59" i="56"/>
  <c r="AF35" i="56"/>
  <c r="AE35" i="56"/>
  <c r="AF71" i="56"/>
  <c r="AE71" i="56"/>
  <c r="AA45" i="56"/>
  <c r="AA34" i="56"/>
  <c r="AA43" i="56"/>
  <c r="Z82" i="56"/>
  <c r="Z80" i="56"/>
  <c r="Z46" i="56"/>
  <c r="Z32" i="56"/>
  <c r="AA44" i="56"/>
  <c r="AA33" i="56"/>
  <c r="AA82" i="56"/>
  <c r="AA42" i="56"/>
  <c r="AA67" i="56"/>
  <c r="AA69" i="56"/>
  <c r="AA31" i="56"/>
  <c r="AA79" i="56"/>
  <c r="AA70" i="56"/>
  <c r="AA66" i="56"/>
  <c r="AA55" i="56"/>
  <c r="Z42" i="56"/>
  <c r="Z78" i="56"/>
  <c r="Z79" i="56"/>
  <c r="Z55" i="56"/>
  <c r="Y59" i="56"/>
  <c r="AA58" i="56"/>
  <c r="AA54" i="56"/>
  <c r="AA32" i="56"/>
  <c r="AA68" i="56"/>
  <c r="AA46" i="56"/>
  <c r="AA78" i="56"/>
  <c r="Z54" i="56"/>
  <c r="Z34" i="56"/>
  <c r="Z33" i="56"/>
  <c r="Z66" i="56"/>
  <c r="Z67" i="56"/>
  <c r="Z44" i="56"/>
  <c r="Y35" i="56"/>
  <c r="Y47" i="56"/>
  <c r="Y71" i="56"/>
  <c r="E11" i="56"/>
  <c r="Y83" i="56"/>
  <c r="F8" i="37"/>
  <c r="AE83" i="56"/>
  <c r="C69" i="55"/>
  <c r="C17" i="55"/>
  <c r="C69" i="54"/>
  <c r="C17" i="54"/>
  <c r="D7" i="37"/>
  <c r="E7" i="37"/>
  <c r="I8" i="37"/>
  <c r="D8" i="37"/>
  <c r="AH79" i="56"/>
  <c r="E6" i="37"/>
  <c r="AB67" i="56"/>
  <c r="AB56" i="56"/>
  <c r="AB78" i="56"/>
  <c r="AB68" i="56"/>
  <c r="AB34" i="56"/>
  <c r="G8" i="37"/>
  <c r="D5" i="37"/>
  <c r="D6" i="37"/>
  <c r="E8" i="37"/>
  <c r="AC65" i="55" l="1"/>
  <c r="AB79" i="55"/>
  <c r="AC41" i="55"/>
  <c r="AB10" i="55"/>
  <c r="AC137" i="55"/>
  <c r="AC51" i="55"/>
  <c r="AC77" i="55"/>
  <c r="AC99" i="55"/>
  <c r="AC125" i="55"/>
  <c r="AC26" i="55"/>
  <c r="AC28" i="55"/>
  <c r="AC30" i="55"/>
  <c r="AC50" i="55"/>
  <c r="AC52" i="55"/>
  <c r="AC54" i="55"/>
  <c r="AC74" i="55"/>
  <c r="AC76" i="55"/>
  <c r="AC78" i="55"/>
  <c r="AC98" i="55"/>
  <c r="AC100" i="55"/>
  <c r="AC102" i="55"/>
  <c r="AC122" i="55"/>
  <c r="AC124" i="55"/>
  <c r="AC126" i="55"/>
  <c r="AC29" i="55"/>
  <c r="AC101" i="55"/>
  <c r="AC27" i="55"/>
  <c r="AC53" i="55"/>
  <c r="AC123" i="55"/>
  <c r="AC75" i="55"/>
  <c r="AB55" i="55"/>
  <c r="AC113" i="55"/>
  <c r="AB127" i="55"/>
  <c r="AB31" i="55"/>
  <c r="AB9" i="55" s="1"/>
  <c r="AC89" i="55"/>
  <c r="AA9" i="55"/>
  <c r="AA11" i="55" s="1"/>
  <c r="AC113" i="54"/>
  <c r="AB79" i="54"/>
  <c r="AA9" i="54"/>
  <c r="AA11" i="54" s="1"/>
  <c r="AC65" i="54"/>
  <c r="AC75" i="54"/>
  <c r="AC123" i="54"/>
  <c r="AC99" i="54"/>
  <c r="P99" i="54" s="1"/>
  <c r="AC26" i="54"/>
  <c r="AC28" i="54"/>
  <c r="P28" i="54" s="1"/>
  <c r="AC30" i="54"/>
  <c r="P30" i="54" s="1"/>
  <c r="AC50" i="54"/>
  <c r="AC52" i="54"/>
  <c r="P52" i="54" s="1"/>
  <c r="AC54" i="54"/>
  <c r="AC74" i="54"/>
  <c r="AC76" i="54"/>
  <c r="AC78" i="54"/>
  <c r="AC98" i="54"/>
  <c r="AC100" i="54"/>
  <c r="AC102" i="54"/>
  <c r="AC122" i="54"/>
  <c r="AC124" i="54"/>
  <c r="AC126" i="54"/>
  <c r="P126" i="54" s="1"/>
  <c r="AC29" i="54"/>
  <c r="P29" i="54" s="1"/>
  <c r="AC77" i="54"/>
  <c r="P77" i="54" s="1"/>
  <c r="AC51" i="54"/>
  <c r="AC27" i="54"/>
  <c r="P27" i="54" s="1"/>
  <c r="AC53" i="54"/>
  <c r="AC101" i="54"/>
  <c r="AC125" i="54"/>
  <c r="P125" i="54" s="1"/>
  <c r="AB55" i="54"/>
  <c r="AC89" i="54"/>
  <c r="AC137" i="54"/>
  <c r="AC41" i="54"/>
  <c r="AC10" i="54" s="1"/>
  <c r="AB127" i="54"/>
  <c r="AB31" i="54"/>
  <c r="AB9" i="54" s="1"/>
  <c r="AB10" i="54"/>
  <c r="P53" i="54"/>
  <c r="P54" i="54"/>
  <c r="P51" i="54"/>
  <c r="P124" i="54"/>
  <c r="P76" i="54"/>
  <c r="P75" i="54"/>
  <c r="P78" i="54"/>
  <c r="P100" i="54"/>
  <c r="AB45" i="56"/>
  <c r="AB54" i="56"/>
  <c r="AB82" i="56"/>
  <c r="AB66" i="56"/>
  <c r="AB44" i="56"/>
  <c r="AB43" i="56"/>
  <c r="AB79" i="56"/>
  <c r="AB30" i="56"/>
  <c r="AB31" i="56"/>
  <c r="AB69" i="56"/>
  <c r="AB80" i="56"/>
  <c r="AB55" i="56"/>
  <c r="AB58" i="56"/>
  <c r="AB42" i="56"/>
  <c r="J8" i="37"/>
  <c r="AA35" i="56"/>
  <c r="AH54" i="56"/>
  <c r="AH44" i="56"/>
  <c r="AH42" i="56"/>
  <c r="AH46" i="56"/>
  <c r="AH57" i="56"/>
  <c r="AH69" i="56"/>
  <c r="AG83" i="56"/>
  <c r="Z47" i="56"/>
  <c r="AB46" i="56"/>
  <c r="AB33" i="56"/>
  <c r="AB35" i="56" s="1"/>
  <c r="AB81" i="56"/>
  <c r="AB57" i="56"/>
  <c r="AB32" i="56"/>
  <c r="Z83" i="56"/>
  <c r="Z59" i="56"/>
  <c r="Z35" i="56"/>
  <c r="AA47" i="56"/>
  <c r="AA59" i="56"/>
  <c r="AH43" i="56"/>
  <c r="AH80" i="56"/>
  <c r="AH45" i="56"/>
  <c r="AG35" i="56"/>
  <c r="AH78" i="56"/>
  <c r="AH67" i="56"/>
  <c r="AH82" i="56"/>
  <c r="AH30" i="56"/>
  <c r="AH68" i="56"/>
  <c r="AH58" i="56"/>
  <c r="AH32" i="56"/>
  <c r="AH34" i="56"/>
  <c r="AH55" i="56"/>
  <c r="AH66" i="56"/>
  <c r="AH31" i="56"/>
  <c r="AH56" i="56"/>
  <c r="AH33" i="56"/>
  <c r="AH70" i="56"/>
  <c r="AG59" i="56"/>
  <c r="AG47" i="56"/>
  <c r="AG71" i="56"/>
  <c r="AA71" i="56"/>
  <c r="AA83" i="56"/>
  <c r="Z71" i="56"/>
  <c r="F7" i="37"/>
  <c r="H4" i="57"/>
  <c r="E36" i="32"/>
  <c r="E5" i="37"/>
  <c r="E9" i="37" s="1"/>
  <c r="C93" i="55"/>
  <c r="C18" i="55"/>
  <c r="C117" i="55" s="1"/>
  <c r="C93" i="54"/>
  <c r="C18" i="54"/>
  <c r="C117" i="54" s="1"/>
  <c r="AH71" i="56"/>
  <c r="P102" i="54"/>
  <c r="P123" i="54"/>
  <c r="P101" i="54"/>
  <c r="AB71" i="56"/>
  <c r="D9" i="37"/>
  <c r="D12" i="37"/>
  <c r="F22" i="39" s="1"/>
  <c r="E22" i="39" s="1"/>
  <c r="AC31" i="55" l="1"/>
  <c r="AB11" i="55"/>
  <c r="AC103" i="55"/>
  <c r="AC127" i="55"/>
  <c r="AC79" i="55"/>
  <c r="AC10" i="55"/>
  <c r="AC55" i="55"/>
  <c r="AC55" i="54"/>
  <c r="AC127" i="54"/>
  <c r="AC31" i="54"/>
  <c r="AC9" i="54" s="1"/>
  <c r="AC11" i="54" s="1"/>
  <c r="AC103" i="54"/>
  <c r="AC79" i="54"/>
  <c r="AB11" i="54"/>
  <c r="P26" i="54"/>
  <c r="P31" i="54" s="1"/>
  <c r="P122" i="54"/>
  <c r="P127" i="54" s="1"/>
  <c r="P74" i="54"/>
  <c r="P79" i="54" s="1"/>
  <c r="AB59" i="56"/>
  <c r="AB47" i="56"/>
  <c r="I7" i="37" s="1"/>
  <c r="F6" i="37"/>
  <c r="AB83" i="56"/>
  <c r="AH59" i="56"/>
  <c r="AH83" i="56"/>
  <c r="AH47" i="56"/>
  <c r="AH35" i="56"/>
  <c r="G7" i="37"/>
  <c r="H7" i="37"/>
  <c r="D36" i="32"/>
  <c r="H5" i="53"/>
  <c r="E12" i="37"/>
  <c r="F5" i="37"/>
  <c r="P53" i="55"/>
  <c r="P52" i="55"/>
  <c r="P50" i="55"/>
  <c r="P77" i="55"/>
  <c r="P76" i="55"/>
  <c r="P102" i="55"/>
  <c r="P101" i="55"/>
  <c r="P123" i="55"/>
  <c r="P125" i="55"/>
  <c r="P124" i="55"/>
  <c r="P99" i="55"/>
  <c r="P75" i="55"/>
  <c r="P126" i="55"/>
  <c r="P51" i="55"/>
  <c r="P100" i="55"/>
  <c r="P27" i="55"/>
  <c r="P30" i="55"/>
  <c r="P28" i="55"/>
  <c r="P29" i="55"/>
  <c r="P78" i="55"/>
  <c r="P54" i="55"/>
  <c r="P98" i="54"/>
  <c r="P103" i="54" s="1"/>
  <c r="P50" i="54"/>
  <c r="P55" i="54" s="1"/>
  <c r="AC9" i="55" l="1"/>
  <c r="AC11" i="55" s="1"/>
  <c r="G6" i="37"/>
  <c r="T63" i="55"/>
  <c r="T87" i="55"/>
  <c r="T38" i="55"/>
  <c r="T85" i="55"/>
  <c r="T88" i="55"/>
  <c r="T111" i="55"/>
  <c r="T86" i="55"/>
  <c r="T112" i="55"/>
  <c r="T133" i="55"/>
  <c r="T135" i="55"/>
  <c r="T61" i="55"/>
  <c r="T134" i="55"/>
  <c r="T39" i="55"/>
  <c r="T110" i="55"/>
  <c r="T62" i="55"/>
  <c r="T136" i="55"/>
  <c r="T64" i="55"/>
  <c r="T40" i="55"/>
  <c r="T109" i="55"/>
  <c r="T37" i="55"/>
  <c r="F12" i="37"/>
  <c r="J7" i="37"/>
  <c r="F9" i="37"/>
  <c r="G5" i="37"/>
  <c r="T62" i="54"/>
  <c r="T135" i="54"/>
  <c r="T61" i="54"/>
  <c r="T38" i="54"/>
  <c r="T112" i="54"/>
  <c r="T133" i="54"/>
  <c r="T136" i="54"/>
  <c r="T86" i="54"/>
  <c r="T39" i="54"/>
  <c r="T111" i="54"/>
  <c r="T87" i="54"/>
  <c r="T109" i="54"/>
  <c r="T40" i="54"/>
  <c r="T88" i="54"/>
  <c r="T134" i="54"/>
  <c r="T85" i="54"/>
  <c r="T37" i="54"/>
  <c r="T110" i="54"/>
  <c r="T63" i="54"/>
  <c r="T60" i="54"/>
  <c r="T64" i="54"/>
  <c r="H6" i="37"/>
  <c r="P98" i="55"/>
  <c r="P103" i="55" s="1"/>
  <c r="P31" i="55"/>
  <c r="P55" i="55"/>
  <c r="P122" i="55"/>
  <c r="P127" i="55" s="1"/>
  <c r="P74" i="55"/>
  <c r="P79" i="55" s="1"/>
  <c r="G12" i="37" l="1"/>
  <c r="E6" i="54"/>
  <c r="T132" i="55"/>
  <c r="T137" i="55" s="1"/>
  <c r="T108" i="55"/>
  <c r="T113" i="55" s="1"/>
  <c r="T36" i="55"/>
  <c r="T41" i="55" s="1"/>
  <c r="T60" i="55"/>
  <c r="T65" i="55" s="1"/>
  <c r="T84" i="55"/>
  <c r="T89" i="55" s="1"/>
  <c r="G9" i="37"/>
  <c r="T65" i="54"/>
  <c r="T36" i="54"/>
  <c r="T41" i="54" s="1"/>
  <c r="T84" i="54"/>
  <c r="T89" i="54" s="1"/>
  <c r="T108" i="54"/>
  <c r="T113" i="54" s="1"/>
  <c r="H5" i="37"/>
  <c r="H12" i="37" s="1"/>
  <c r="T132" i="54"/>
  <c r="T137" i="54" s="1"/>
  <c r="E7" i="55" l="1"/>
  <c r="I6" i="37"/>
  <c r="J6" i="37" s="1"/>
  <c r="I5" i="37"/>
  <c r="J5" i="37" s="1"/>
  <c r="H9" i="37"/>
  <c r="E6" i="55"/>
  <c r="E30" i="32"/>
  <c r="D4" i="57"/>
  <c r="G4" i="57" l="1"/>
  <c r="E35" i="32"/>
  <c r="I9" i="37"/>
  <c r="J9" i="37" s="1"/>
  <c r="I12" i="37"/>
  <c r="J12" i="37" s="1"/>
  <c r="E43" i="32" s="1"/>
  <c r="E7" i="54"/>
  <c r="E8" i="55"/>
  <c r="E32" i="32" s="1"/>
  <c r="D32" i="32" s="1"/>
  <c r="E34" i="32"/>
  <c r="F4" i="57"/>
  <c r="D5" i="53"/>
  <c r="D30" i="32"/>
  <c r="G5" i="53" l="1"/>
  <c r="D35" i="32"/>
  <c r="I4" i="57"/>
  <c r="E4" i="57"/>
  <c r="E31" i="32"/>
  <c r="E8" i="54"/>
  <c r="E28" i="32" s="1"/>
  <c r="I5" i="53"/>
  <c r="D43" i="32"/>
  <c r="D34" i="32"/>
  <c r="F5" i="53"/>
  <c r="D28" i="32" l="1"/>
  <c r="E44" i="32"/>
  <c r="D31" i="32"/>
  <c r="E5" i="53"/>
  <c r="K5" i="53" l="1"/>
  <c r="D44" i="32"/>
</calcChain>
</file>

<file path=xl/comments1.xml><?xml version="1.0" encoding="utf-8"?>
<comments xmlns="http://schemas.openxmlformats.org/spreadsheetml/2006/main">
  <authors>
    <author>Олег</author>
  </authors>
  <commentList>
    <comment ref="D2" authorId="0" shapeId="0">
      <text>
        <r>
          <rPr>
            <b/>
            <sz val="9"/>
            <color indexed="81"/>
            <rFont val="Tahoma"/>
            <family val="2"/>
            <charset val="204"/>
          </rPr>
          <t>Олег:</t>
        </r>
        <r>
          <rPr>
            <sz val="9"/>
            <color indexed="81"/>
            <rFont val="Tahoma"/>
            <family val="2"/>
            <charset val="204"/>
          </rPr>
          <t xml:space="preserve">
можно сделать выпадающий список из да/нет
Второй вариант - автозаполнение,если в Шаге 2.2 что-то выскакивает</t>
        </r>
      </text>
    </comment>
    <comment ref="B9" authorId="0" shapeId="0">
      <text>
        <r>
          <rPr>
            <b/>
            <sz val="9"/>
            <color indexed="81"/>
            <rFont val="Tahoma"/>
            <family val="2"/>
            <charset val="204"/>
          </rPr>
          <t>Олег:</t>
        </r>
        <r>
          <rPr>
            <sz val="9"/>
            <color indexed="81"/>
            <rFont val="Tahoma"/>
            <family val="2"/>
            <charset val="204"/>
          </rPr>
          <t xml:space="preserve">
Тут два варианта. 1. Пользователь заполняет все тут, затем это транслируется в следующие шаги. Второй вариант - в шагах он заполняет, а тут выскакивает сводка по типам и по видам. Тогда бы я содержимое этого листа перевел бы в Сводные результаты </t>
        </r>
      </text>
    </comment>
  </commentList>
</comments>
</file>

<file path=xl/sharedStrings.xml><?xml version="1.0" encoding="utf-8"?>
<sst xmlns="http://schemas.openxmlformats.org/spreadsheetml/2006/main" count="2863" uniqueCount="1321">
  <si>
    <t>руб.</t>
  </si>
  <si>
    <t>Дата обновления</t>
  </si>
  <si>
    <t>Приобретения</t>
  </si>
  <si>
    <t xml:space="preserve">Информационные </t>
  </si>
  <si>
    <t>Содержательные</t>
  </si>
  <si>
    <t>Издержки простоя</t>
  </si>
  <si>
    <t>Альтернативные</t>
  </si>
  <si>
    <t>Виды действий</t>
  </si>
  <si>
    <t>ед. изм.</t>
  </si>
  <si>
    <t>Горизонт планирования</t>
  </si>
  <si>
    <t xml:space="preserve">Общая сумма </t>
  </si>
  <si>
    <t>Сумма временных</t>
  </si>
  <si>
    <t>Сумма приобретений</t>
  </si>
  <si>
    <t>Оценка количества</t>
  </si>
  <si>
    <t>часов</t>
  </si>
  <si>
    <t>Характеристика группы, причины выбора</t>
  </si>
  <si>
    <t>покраска</t>
  </si>
  <si>
    <t>оклейка</t>
  </si>
  <si>
    <t>штамповка</t>
  </si>
  <si>
    <t>калибровка</t>
  </si>
  <si>
    <t>пленка</t>
  </si>
  <si>
    <t>кисточка</t>
  </si>
  <si>
    <t>лак</t>
  </si>
  <si>
    <t>ножницы</t>
  </si>
  <si>
    <t>лет</t>
  </si>
  <si>
    <t>наличие</t>
  </si>
  <si>
    <t>в том числе по видам</t>
  </si>
  <si>
    <t>1.1.</t>
  </si>
  <si>
    <t>1.2.</t>
  </si>
  <si>
    <t>2.1.</t>
  </si>
  <si>
    <t>2.2.</t>
  </si>
  <si>
    <t>Горизонт планирования, лет</t>
  </si>
  <si>
    <t>В расчете на 1 объект</t>
  </si>
  <si>
    <t>Шаг 2.1. Определение наличия издержек</t>
  </si>
  <si>
    <t>Шаг 2.2. Определение видов издержек</t>
  </si>
  <si>
    <t>% в год</t>
  </si>
  <si>
    <t>Средняя рентабельность по виду экономической деятельности</t>
  </si>
  <si>
    <t>Общая сумма информационных издержек</t>
  </si>
  <si>
    <t>Общая сумма содержательных  издержек</t>
  </si>
  <si>
    <t>Итого общая сумма по п.1-п.3</t>
  </si>
  <si>
    <t>Общая сумма альтернативных издержек</t>
  </si>
  <si>
    <t>Cлучаи простоя</t>
  </si>
  <si>
    <t>Случай 1</t>
  </si>
  <si>
    <t>Случай 2</t>
  </si>
  <si>
    <t>Случай 3</t>
  </si>
  <si>
    <t>дней</t>
  </si>
  <si>
    <t>нужно также прикрутить тут определения издержек (блоки с текстом)</t>
  </si>
  <si>
    <t>Платежи, приобретения</t>
  </si>
  <si>
    <t>да/нет</t>
  </si>
  <si>
    <t>Оплата труда сотрудников</t>
  </si>
  <si>
    <t>Да/нет</t>
  </si>
  <si>
    <t>Да</t>
  </si>
  <si>
    <t>Нет</t>
  </si>
  <si>
    <t>Счетчик</t>
  </si>
  <si>
    <t>Параметр</t>
  </si>
  <si>
    <t>Наименование группы объектов</t>
  </si>
  <si>
    <t>Ед.изм.</t>
  </si>
  <si>
    <t>ед.</t>
  </si>
  <si>
    <t>тыс. ед.</t>
  </si>
  <si>
    <t>тыс. руб.</t>
  </si>
  <si>
    <t>млн руб.</t>
  </si>
  <si>
    <t>месяцев</t>
  </si>
  <si>
    <t>№ п/п</t>
  </si>
  <si>
    <t>Временные издержки</t>
  </si>
  <si>
    <t>Наименование действия</t>
  </si>
  <si>
    <t>Периодичность</t>
  </si>
  <si>
    <t>день</t>
  </si>
  <si>
    <t>месяц</t>
  </si>
  <si>
    <t>год</t>
  </si>
  <si>
    <t>час</t>
  </si>
  <si>
    <t>Коэффициент для пересчета в год</t>
  </si>
  <si>
    <t>Количество рабочих дней в году</t>
  </si>
  <si>
    <t>Коэффициент налоговой нагрузки (для расчета трудозатрат)</t>
  </si>
  <si>
    <t>-</t>
  </si>
  <si>
    <t>Наименование приобретения</t>
  </si>
  <si>
    <t>Разовое или ежегодное действие</t>
  </si>
  <si>
    <t>Разовое/ежегодное действие</t>
  </si>
  <si>
    <t>Разовое</t>
  </si>
  <si>
    <t>Ежегодное</t>
  </si>
  <si>
    <t>Среднемесячная начисленная заработная плата, руб. в месяц</t>
  </si>
  <si>
    <t>Издержки, связанные с приобретениями</t>
  </si>
  <si>
    <t>Ед. изм. Руб.</t>
  </si>
  <si>
    <t>Коэфф. Пересчета руб.</t>
  </si>
  <si>
    <t>4.1. Параметры объектов оценки</t>
  </si>
  <si>
    <t>Наименование объекта</t>
  </si>
  <si>
    <t>Оценка количества объектов, ед.</t>
  </si>
  <si>
    <t>Случаи простоя</t>
  </si>
  <si>
    <t>Случаи простоя - ситуации, при которых возникает вынужденная остановка экономически обоснованной деятельности субъекта предпринимательской или иной экономической деятельности</t>
  </si>
  <si>
    <t>Средние месячные затраты на оплату труда одного сотрудника (с учетом налогов и взносов), руб.</t>
  </si>
  <si>
    <t>Оценка объема выпуска продукции (работ, услуг) в месяц, руб.</t>
  </si>
  <si>
    <t>Средний месячный объем эксплуатационных или производственных затрат, руб.</t>
  </si>
  <si>
    <t>Описание состава эксплуатационных или производственных затрат</t>
  </si>
  <si>
    <t>Затраты на оплату труда</t>
  </si>
  <si>
    <t>Эксплуатационные или производственные затраты</t>
  </si>
  <si>
    <t>Случай простоя</t>
  </si>
  <si>
    <t>ИТОГО</t>
  </si>
  <si>
    <t>Общая сумма</t>
  </si>
  <si>
    <t xml:space="preserve">Шаг 5. Расчет альтернативных издержек </t>
  </si>
  <si>
    <t>Коэффициент рентабельности</t>
  </si>
  <si>
    <t xml:space="preserve">Шаг 2. Расчет информационных издержек </t>
  </si>
  <si>
    <t>2.1. Параметры объектов оценки</t>
  </si>
  <si>
    <t xml:space="preserve">Шаг 3. Расчет содержательных издержек </t>
  </si>
  <si>
    <t>Наличие</t>
  </si>
  <si>
    <t>в том числе по случаям простоя</t>
  </si>
  <si>
    <t>3.1.</t>
  </si>
  <si>
    <t>3.2.</t>
  </si>
  <si>
    <t>3.3.</t>
  </si>
  <si>
    <t>3.4.</t>
  </si>
  <si>
    <t>3.5.</t>
  </si>
  <si>
    <t>Недополученная прибыль</t>
  </si>
  <si>
    <t>ОТ (или другие обязанности и ограничения)</t>
  </si>
  <si>
    <t>Вид затрат</t>
  </si>
  <si>
    <t>Подгруппа субъектов регулирования</t>
  </si>
  <si>
    <t>Монетизированное значение затрат в год</t>
  </si>
  <si>
    <t>Монетизированное значение затрат на горизонте оценивания</t>
  </si>
  <si>
    <t>Наименование и реквизиты нормативного правового акта</t>
  </si>
  <si>
    <t>Информационные издержки</t>
  </si>
  <si>
    <t>Содержательные издержки</t>
  </si>
  <si>
    <t>Альтернативные издержки</t>
  </si>
  <si>
    <t>Всего</t>
  </si>
  <si>
    <t>Всего, в т.ч.</t>
  </si>
  <si>
    <t>1.</t>
  </si>
  <si>
    <t>1.3.</t>
  </si>
  <si>
    <t>1.4.</t>
  </si>
  <si>
    <t>1.5.</t>
  </si>
  <si>
    <t>Ед. изм.</t>
  </si>
  <si>
    <t>2.</t>
  </si>
  <si>
    <t>2.3.</t>
  </si>
  <si>
    <t>2.4.</t>
  </si>
  <si>
    <t>2.5.</t>
  </si>
  <si>
    <t>3.</t>
  </si>
  <si>
    <t>3.6.</t>
  </si>
  <si>
    <t>Значение</t>
  </si>
  <si>
    <t>Источники, примечания</t>
  </si>
  <si>
    <t>Шаг 1. Основные исходные данные</t>
  </si>
  <si>
    <t>Результаты расчета</t>
  </si>
  <si>
    <t>Лист используется при необходимости, если нужно подсчитать какие-то величины, которые не укладываются в стандартные таблицы (например, средние цены, величину издержек простоя по типам), или для пояснений и обоснований.</t>
  </si>
  <si>
    <t>Кол-во 1</t>
  </si>
  <si>
    <t>Кол-во 2</t>
  </si>
  <si>
    <t>Цена 1</t>
  </si>
  <si>
    <t>Цена 2</t>
  </si>
  <si>
    <t>Цена 3</t>
  </si>
  <si>
    <t>единиц</t>
  </si>
  <si>
    <t>Название объекта:</t>
  </si>
  <si>
    <t>Среднее кол-во</t>
  </si>
  <si>
    <t>Средняя цена</t>
  </si>
  <si>
    <t>Название приобретения:</t>
  </si>
  <si>
    <t>Источники</t>
  </si>
  <si>
    <t>Средняя цена по группе</t>
  </si>
  <si>
    <t>Подгруппа 1:</t>
  </si>
  <si>
    <t>Подгруппа 2:</t>
  </si>
  <si>
    <t>Подгруппа 3:</t>
  </si>
  <si>
    <t>Доля подгруппы</t>
  </si>
  <si>
    <t>%</t>
  </si>
  <si>
    <t>Средневзвешенная цена</t>
  </si>
  <si>
    <t>6. Отдельные вспомогательные таблицы</t>
  </si>
  <si>
    <t>Пояснения (при необходимости)</t>
  </si>
  <si>
    <t>Доля подгруппы в объектах расчета</t>
  </si>
  <si>
    <r>
      <rPr>
        <sz val="11"/>
        <color theme="1"/>
        <rFont val="Calibri"/>
        <family val="2"/>
        <charset val="204"/>
      </rPr>
      <t xml:space="preserve">← </t>
    </r>
    <r>
      <rPr>
        <sz val="11"/>
        <color theme="1"/>
        <rFont val="Calibri"/>
        <family val="2"/>
        <charset val="204"/>
        <scheme val="minor"/>
      </rPr>
      <t>вносится в основные таблицы</t>
    </r>
  </si>
  <si>
    <t>С1</t>
  </si>
  <si>
    <t>Справочник стандартных затрат рабочего времени на выполнение типовых операций (действий)</t>
  </si>
  <si>
    <t>С2</t>
  </si>
  <si>
    <t xml:space="preserve">Справочник стандартной стоимости часа работы персонала в разрезе видов деятельности </t>
  </si>
  <si>
    <t>С3</t>
  </si>
  <si>
    <t>Справочник по нормативному сроку службы отдельных видов оборудования</t>
  </si>
  <si>
    <t>С4</t>
  </si>
  <si>
    <t>Справочник по средним ценам отдельных видов оборудования, применяемым для оценки исполнения обязательных требований</t>
  </si>
  <si>
    <t>С5</t>
  </si>
  <si>
    <t>Справочник стандартных значений частоты обслуживания отдельных видов оборудования</t>
  </si>
  <si>
    <t>С6</t>
  </si>
  <si>
    <t>Справочник средних цен на отдельные работы (услуги), применяемым для оценки исполнения обязательных требований</t>
  </si>
  <si>
    <t>С7</t>
  </si>
  <si>
    <t>Справочник по количественному составу отдельных групп объектов расчета, применяемому для оценки исполнения обязательных требований</t>
  </si>
  <si>
    <t>Группы оборудования</t>
  </si>
  <si>
    <t>Группа работ, услуг</t>
  </si>
  <si>
    <t>Сферы объектов</t>
  </si>
  <si>
    <t>№
п/п</t>
  </si>
  <si>
    <t>Группа действий</t>
  </si>
  <si>
    <t>Типовые действия</t>
  </si>
  <si>
    <t>Стандартные затраты рабочего времени, человеко-часов</t>
  </si>
  <si>
    <t>Размещение информации об организации, продукции, услугах</t>
  </si>
  <si>
    <t>Подготовка информации о составе продукции для предоставления потребителям на бумажном носителе (20 наименований продукции)</t>
  </si>
  <si>
    <t>Подготовка информации о работах, услугах для предоставления потребителям на бумажном носителе (10 наименований услуг, работ)</t>
  </si>
  <si>
    <t>Подготовка меню объектов общественного питания типа "столовая" (без верстки)</t>
  </si>
  <si>
    <t>Подготовка информации о составе продукции для предоставления потребителям в сети Интернет (одна-две страницы сайта)</t>
  </si>
  <si>
    <t>Подготовка информации о работах, услугах для предоставления потребителям в сети Интернет (одна-две страницы сайта)</t>
  </si>
  <si>
    <t>Размещение информации по пожарной безопасности</t>
  </si>
  <si>
    <t>Размещение информации с перечнем помещений</t>
  </si>
  <si>
    <t>Размещение инструкции, регламентирующей порядок использования лифтов</t>
  </si>
  <si>
    <t>Размещение информации о защищаемых помещениях</t>
  </si>
  <si>
    <t>Размещение знаков пожарной безопасности, обозначающих места размещения аварийно-спасательных устройств и снаряжения.</t>
  </si>
  <si>
    <t>Ведение информационных баз и журналов на предприятии</t>
  </si>
  <si>
    <t>Ведение журнала ежедневного учёта информации (1-10 полей)</t>
  </si>
  <si>
    <t>Ведение журнала ежедневного учёта информации (11-20 полей)</t>
  </si>
  <si>
    <t>Ведение журнала ежедневного учёта информации (более 20 полей)</t>
  </si>
  <si>
    <t>Ведение журнала еженедельного учёта информации (1-10 полей)</t>
  </si>
  <si>
    <t>Ведение журнала еженедельного учёта информации (11-20 полей)</t>
  </si>
  <si>
    <t>Ведение журнала еженедельного учёта информации (более 20 полей)</t>
  </si>
  <si>
    <t>Ведение журнала ежемесячного учёта информации (1-10 полей)</t>
  </si>
  <si>
    <t>Ведение журнала ежемесячного учёта информации (11-20 полей)</t>
  </si>
  <si>
    <t>Ведение журнала ежемесячного учёта информации (более 20 полей)</t>
  </si>
  <si>
    <t>Ведение журнала полугодового учёта информации (1-10 полей)</t>
  </si>
  <si>
    <t>Ведение журнала полугодового учёта информации (11-20 полей)</t>
  </si>
  <si>
    <t>Ведение журнала полугодового учёта информации (более 20 полей)</t>
  </si>
  <si>
    <t>Ведение журнала ежегодного учёта информации (1-10 полей)</t>
  </si>
  <si>
    <t>Ведение журнала ежегодного учёта информации (11-20 полей)</t>
  </si>
  <si>
    <t>Ведение журнала ежегодного учёта информации (более 20 полей)</t>
  </si>
  <si>
    <t>Разработка инструкций, технологических карт</t>
  </si>
  <si>
    <t>Разработка программ</t>
  </si>
  <si>
    <t>Разработка планов действий на объекте, прилегающей территории</t>
  </si>
  <si>
    <t xml:space="preserve">Организация приобретения оборудования, товаров для выполнения обязательных требований </t>
  </si>
  <si>
    <t>Определение типа и кол-ва товаров, необходимых для выполнения обязательных требований</t>
  </si>
  <si>
    <t>Поиск поставщика без тендерной процедуры</t>
  </si>
  <si>
    <t>Проведение тендерной процедуры для определения поставщика без привлечения электронной площадки</t>
  </si>
  <si>
    <t>Проведение тендерной процедуры для определения поставщика на электронной площадке</t>
  </si>
  <si>
    <t>Заключение договора на поставку товаров</t>
  </si>
  <si>
    <t>Проверка товарной партии и сопроводительных документов</t>
  </si>
  <si>
    <t>Оформление акта приемки партии товара</t>
  </si>
  <si>
    <t>Проведение платежа за партию товара</t>
  </si>
  <si>
    <t xml:space="preserve">Организация приобретения работ, услуг для выполнения обязательных требований </t>
  </si>
  <si>
    <t>Определение вида и объема работ (услуг), необходимых для выполнения обязательных требований</t>
  </si>
  <si>
    <t>Заключение договора на выполнение работ, услуг</t>
  </si>
  <si>
    <t>Оформление акта приемки работ, услуг</t>
  </si>
  <si>
    <t>Проведение платежа за выполненные работы, услуги</t>
  </si>
  <si>
    <t>Организация подключения к государственным информационным системам, установки и обслуживания специализированного программного обеспечения для отчетности, предоставления сведений</t>
  </si>
  <si>
    <t>Организация приобретения и установки электронной цифровой подписи (1-3 рабочих места)</t>
  </si>
  <si>
    <t>Установка доступа к ГИС или специализированного ПО силами собственных специалистов (1-3 рабочих места)</t>
  </si>
  <si>
    <t>Подготовка и направление текущей отчетности, периодических сведений в государственные органы и уполномоченные организации</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</si>
  <si>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1-10)</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</si>
  <si>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11-20)</t>
  </si>
  <si>
    <t>Подготовка и предоставление отчета личным посещением офиса органа власти или уполномоченно организации (с количеством вручную заполняемых полей: 21-40)</t>
  </si>
  <si>
    <t>Подготовка и направление отчета почтовым отправлением (с количеством вручную заполняемых полей: 1-10)</t>
  </si>
  <si>
    <t>Подготовка и направление отчета почтовым отправлением (с количеством вручную заполняемых полей: 11-20)</t>
  </si>
  <si>
    <t>Подготовка и направление отчета почтовым отправлением (с количеством вручную заполняемых полей: 21-40)</t>
  </si>
  <si>
    <t>Подготовка и направление отчета электронной почтой (с количеством вручную заполняемых полей: 1-10)</t>
  </si>
  <si>
    <t>Подготовка и направление отчета электронной почтой (с количеством вручную заполняемых полей: 11-20)</t>
  </si>
  <si>
    <t>Подготовка и направление отчета электронной почтой (с количеством вручную заполняемых полей: 21-40)</t>
  </si>
  <si>
    <t>Подготовка и направление отчета в ГИС или специализированном ПО  (с количеством вручную заполняемых полей: 1-10)</t>
  </si>
  <si>
    <t>Подготовка и направление отчета в ГИС или специализированном ПО  (с количеством вручную заполняемых полей: 11-20)</t>
  </si>
  <si>
    <t>Подготовка и направление отчета в ГИС или специализированном ПО  (с количеством вручную заполняемых полей: 21-40)</t>
  </si>
  <si>
    <t>Организация подтверждения соответствия</t>
  </si>
  <si>
    <t>Получение лицензий, разрешений, мер поддержки</t>
  </si>
  <si>
    <t>Сопровождение проверок контрольно-надзорными органами</t>
  </si>
  <si>
    <t>Оформление трудовых отношений, поиск и наем сотрудников</t>
  </si>
  <si>
    <t>Размещение вакансии в информационной системе</t>
  </si>
  <si>
    <t>Поиск отдельного специалиста с широко распространенной квалификацией (размещение открытой вакансии, отбор кандидатов, собеседования)</t>
  </si>
  <si>
    <t>Принятие отдельного сотрудника в штат по совместительству (оформление трудового договора)</t>
  </si>
  <si>
    <t>Принятие отдельного сотрудника в штат на основное место работы (оформление трудового договора)</t>
  </si>
  <si>
    <t>Заключение типового гражданско-правового договора</t>
  </si>
  <si>
    <t>Проведение аттестаций, оценки персонала</t>
  </si>
  <si>
    <t>Проведение инструктажей персонала</t>
  </si>
  <si>
    <t>Организация проведения осмотров и медосмотра персонала</t>
  </si>
  <si>
    <t>Двухразовый ежедневный осмотра 1 сотрудника на предмет наличия внешне проявляемых заболеваний без применения специальных средств и анализов</t>
  </si>
  <si>
    <t>Обеспечение спецсредствами</t>
  </si>
  <si>
    <t>Обеспечение предприятий средствами пожаротушения</t>
  </si>
  <si>
    <t>Определение типа и необходимого количества огнетушителей для установки на небольших объектах</t>
  </si>
  <si>
    <t>Установка 1 огнетушителя в помещениях</t>
  </si>
  <si>
    <t>№ 
п/п</t>
  </si>
  <si>
    <t>Вид деятельности</t>
  </si>
  <si>
    <t>Подвид деятельности</t>
  </si>
  <si>
    <t>Деятельность</t>
  </si>
  <si>
    <t>Стандартная стоимость часа работы персонала, рублей</t>
  </si>
  <si>
    <t>Актуальность (месяц, год)</t>
  </si>
  <si>
    <t>январь-апрель 2023 г.</t>
  </si>
  <si>
    <t>Группа оборудования</t>
  </si>
  <si>
    <t>Вид оборудования</t>
  </si>
  <si>
    <t>Нормативный срок службы, лет</t>
  </si>
  <si>
    <t>Противопожарное оборудование</t>
  </si>
  <si>
    <t>Комплектация пожарного щита ЩП-А</t>
  </si>
  <si>
    <t>Инвентарь производственный и хозяйственный сферы услуг</t>
  </si>
  <si>
    <t>Стойка меню</t>
  </si>
  <si>
    <t>Стенд уголок потребителя</t>
  </si>
  <si>
    <t>Инвентарь производственный и хозяйственный сферы производства</t>
  </si>
  <si>
    <t>Средства индивидуальной защиты</t>
  </si>
  <si>
    <t>Фильтрующие самоспасатели</t>
  </si>
  <si>
    <t>Технические устройства и их комплексы для обеспечения формирования, хранения и передачи свещений в государственные информационные ресурсы</t>
  </si>
  <si>
    <t>USB-токен</t>
  </si>
  <si>
    <t>Информационные табло, стенды, стойки, знаки и иные устройства информирования</t>
  </si>
  <si>
    <t>Оборудование для обязательной маркировки продукции</t>
  </si>
  <si>
    <t>Расходные материалы, детали оборудования</t>
  </si>
  <si>
    <t>Транспортные средства и устройства для них</t>
  </si>
  <si>
    <t>Средства измерения, учета концентрации, объема, температуры, в том числе автоматические и передающие результаты</t>
  </si>
  <si>
    <t>Фильтры, очистное оборудование и иные средства защиты окружающей среды</t>
  </si>
  <si>
    <t>Торговое оборудование, кассовые аппараты</t>
  </si>
  <si>
    <t>Бланки, формы, типовые журналы</t>
  </si>
  <si>
    <t>Учебные материалы, инвентарь, средства для проверки знаний</t>
  </si>
  <si>
    <t>Информационно-справочные системы</t>
  </si>
  <si>
    <t>Иное</t>
  </si>
  <si>
    <t>Средняя рыночная цена, рублей</t>
  </si>
  <si>
    <t>Огнетушитель порошковый ОП-4</t>
  </si>
  <si>
    <t>Частота обслуживания, раз в год</t>
  </si>
  <si>
    <t>Огнетушитель порошковый - поверка</t>
  </si>
  <si>
    <t>Огнетушитель порошковый - перезарядка</t>
  </si>
  <si>
    <t>Работа, услуга</t>
  </si>
  <si>
    <t>Государственная регистрация прав на недвижимое имущество и сделок с ним, кадастровый учет объектов недвижимости, землеустройство</t>
  </si>
  <si>
    <t>Нотариальное удостоверение копии разрешения на ввод в эксплуатацию многоквартирного дома и (или) иного объекта недвижимости</t>
  </si>
  <si>
    <t>2013 г.</t>
  </si>
  <si>
    <t>Нотариальное удостоверение договора об ипотеке или нотариальное удостоверение договора, влекущего за собой возникновение ипотеки в силу закона</t>
  </si>
  <si>
    <t>Услуги БТИ по технической инвентаризации, паспортизации нежилых помещений: технический паспорт линейно-кабельного сооружения связи</t>
  </si>
  <si>
    <t>Нотариально удостоверенная доверенность на право действовать от имени юридического лица</t>
  </si>
  <si>
    <t>Услуги по составлению технического плана: технический план здания, сооружения, помещения либо объекта незавершенного строительства</t>
  </si>
  <si>
    <t>Государственные (муниципальные) закупки</t>
  </si>
  <si>
    <t>Плата за участие в электронном аукционе</t>
  </si>
  <si>
    <t>Миграционное законодательство</t>
  </si>
  <si>
    <t>Плата за нотариально заверенный перевод копии документа, удостоверяющего личность иностранного работника</t>
  </si>
  <si>
    <t>Плата за нотариально заверенный перевод документов о профессиональном образовании, квалификации, полученных иностранным работником в иностранном государстве</t>
  </si>
  <si>
    <t>Пенсионное обеспечение</t>
  </si>
  <si>
    <t>Плата за нотариальное заверение устава организации</t>
  </si>
  <si>
    <t>Плата за нотариальное заверение положения об обособленном подразделении</t>
  </si>
  <si>
    <t>Трудовые отношения, охрана труда и занятость</t>
  </si>
  <si>
    <t>Услуги аттестующей организации (проведение аттестации рабочих мест по условиям труда)</t>
  </si>
  <si>
    <t>Приобретение бланка трудовой книжки</t>
  </si>
  <si>
    <t>Оплата услуг медицинских организаций: проведение медицинского осмотра работников</t>
  </si>
  <si>
    <t>Оплата услуг медицинских организаций: проведение обязательного психиатрического освидетельствования работника</t>
  </si>
  <si>
    <t>Оплата услуг экспертных организаций, лабораторий (по факту несчастного случая на производстве)</t>
  </si>
  <si>
    <t>Приобретение дозиметрического оборудования (в расчете на одного работника, осуществляющего работы с радиоактивными веществами и источниками ионизирующих излучений)</t>
  </si>
  <si>
    <t>Приобретение мегаомметров для измерения сопротивления электрического оборудования (на замер одной единицы электроинструмента)</t>
  </si>
  <si>
    <t>Приобретение оборудования для проверки манометров (на проверку одного манометра)</t>
  </si>
  <si>
    <t>Приобретение оборудования для контроля качества воздуха, подаваемого на дыхание водолазам и в барокамеру (на одну проверку)</t>
  </si>
  <si>
    <t>Приобретение оборудования для анализа регенеративных и поглотительных веществ, предназначенных для зарядки кислородных аппаратов (осуществление водолазных спусков)</t>
  </si>
  <si>
    <t>Приобретение оборудования для измерения освещенности на рабочих местах</t>
  </si>
  <si>
    <t>Приобретение дозиметрического оборудования (в расчете на одно измерение)</t>
  </si>
  <si>
    <t>Приобретение дозиметрического оборудования (в расчете на один день работы дистанций пути, выполняющих работы по осмотру, содержанию и ремонту железнодорожного пути, путевых устройств и искусственных сооружений в зонах радиоактивного загрязнения)</t>
  </si>
  <si>
    <t>Приобретение оборудования для анализа концентрации паров углеводородов и других газов в резервуарах и производственных помещениях при проведении огневых работ (в расчете на одно измерение)</t>
  </si>
  <si>
    <t>Приобретение оборудования для проверки заземляющих устройств молниезащиты (в т.ч. сопротивление растекания тока)</t>
  </si>
  <si>
    <t>Приобретение оборудования для проверки взрывобезопасности газовоздушной среды</t>
  </si>
  <si>
    <t>Туризм, средства размещения</t>
  </si>
  <si>
    <t>Услуги аккредитованной организации по классификации гостиниц и иных средств размещения</t>
  </si>
  <si>
    <t>Техническое регулирование, подтверждение соответствия</t>
  </si>
  <si>
    <t>Приобретение маркировочных этикеток (в целях маркировки продукции, в расчете на одну потребительскую упаковку)</t>
  </si>
  <si>
    <t>Услуги аккредитованной испытательной лаборатории по составлению протокола испытаний табачной продукции (подтверждающего соответствие содержания смолы и никотина в дыме одной сигареты, монооксида углерода в дыме одной сигареты с фильтром требованиям федерального закона)</t>
  </si>
  <si>
    <t>Приобретение маркировочных этикеток (в целях маркировки продукции, в расчете на одну транспортную упаковку)</t>
  </si>
  <si>
    <t>Услуги испытательной лаборатории по составлению протокола испытаний масложировой продукции</t>
  </si>
  <si>
    <t>Услуги аккредитованного центра сертификации по оформлению сертификата системы качества (безопасности) производства (масложировая продукция)</t>
  </si>
  <si>
    <t>Услуги аккредитованного центра сертификации по проведению инспекционного контроля за сертифицированной серийно выпускаемой продукцией</t>
  </si>
  <si>
    <t>Услуги органа по сертификации по оформлению сертификата соответствия соковой продукции техническому регламенту</t>
  </si>
  <si>
    <t>Услуги аккредитованной исследовательской лаборатории по проведению исследований (испытаний) соковой продукции</t>
  </si>
  <si>
    <t>Услуги аккредитованной исследовательской лаборатории по проведению исследований (испытаний) и измерений типовых образцов молока или продуктов его переработки</t>
  </si>
  <si>
    <t>Услуги аккредитованного центра сертификации по проведению инспекционного контроля за сертифицированной системой качества на стадиях производства, контроля и испытания, проектирования</t>
  </si>
  <si>
    <t>Услуги органа по сертификации по оформлению сертификата соответствия продуктов переработки молока техническому регламенту</t>
  </si>
  <si>
    <t>Услуги аккредитованной исследовательской лаборатории по проведению исследований (испытаний) и измерений (на соответствие продукции требованиям пожарной безопасности)</t>
  </si>
  <si>
    <t>Услуги органа по сертификации по оформлению сертификата соответствия продукции требованиям пожарной безопасности</t>
  </si>
  <si>
    <t>Услуги аккредитованного центра сертификации по проведению инспекционного контроля инспекционного сертифицированной продукции (на соответствие требованиям пожарной безопасности)</t>
  </si>
  <si>
    <t>Услуги аккредитованного центра сертификации при периодическом техническом освидетельствовании лифтов</t>
  </si>
  <si>
    <t>Услуги аккредитованного центра сертификации при оценке соответствия лифтов, отработавших назначенный срок службы</t>
  </si>
  <si>
    <t>Услуги аккредитованного центра сертификации по проведению инспекционного контроля соответствия техническому регламенту (лифты и лифтовое оборудование)</t>
  </si>
  <si>
    <t>Услуги центра сертификации (исследовательской лаборатории) по проведению испытаний и оформлению протокола испытаний типовых образцов газоиспользующего оборудования</t>
  </si>
  <si>
    <t>Услуги органа по сертификации по оформлению сертификата соответствия оборудования техническому регламенту (газоиспользующее оборудование)</t>
  </si>
  <si>
    <t>Услуги аккредитованного центра сертификации по проведению инспекционного контроля соответствия техническому регламенту (газоиспользующее оборудование)</t>
  </si>
  <si>
    <t>Приобретение маркировочных табличек (в целях маркировки оборудования)</t>
  </si>
  <si>
    <t>Услуги аккредитованной исследовательской лаборатории (центра сертификации) по проведению исследований машин и оборудования (в целях 511 декларирования соответствия машин и оборудования требованиям технического регламента)</t>
  </si>
  <si>
    <t>Услуги аккредитованного центра сертификации по оформлению сертификата соответствия машин и оборудования техническому регламенту</t>
  </si>
  <si>
    <t>Услуги аккредитованного центра сертификации по проведению инспекционного контроля соответствия техническому регламенту (машины и оборудование)</t>
  </si>
  <si>
    <t>Услуги аккредитованной исследовательской лаборатории (центра сертификации) по проведению исследований автомобильного бензина и дизельного топлива, полученных путем переработки углеводородсодержащего сырья (оформление протоколов испытаний образца продукции в целях декларирования)</t>
  </si>
  <si>
    <t>Услуги центра сертификации по оформлению сертификата соответствия автомобильного бензина и дизельного топлива, изготовленного путем 513 смешивания нефтепродуктов, в том числе добавлением присадок различного происхождения</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</si>
  <si>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(авиационный бензин, топливо для реактивных двигателей)</t>
  </si>
  <si>
    <t>Услуги центра сертификации по обязательной сертификации компонентов транспортного средства</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</si>
  <si>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(транспортные средства, шасси, компоненты транспортных средств)</t>
  </si>
  <si>
    <t>Услуги аккредитованной испытательной лаборатории по оформлению протоколов испытаний компонентов транспортных средств (в целях декларирования соответствия)</t>
  </si>
  <si>
    <t>Приобретение систем мониторинга швартовных и грузовых операций (ведение учета швартовных и грузовых операций) (в расчете на один объект портовой инфраструктуры)</t>
  </si>
  <si>
    <t>Услуги центра сертификации по проведению сертификации оборудования для работы во взрывоопасных средах</t>
  </si>
  <si>
    <t>Услуги аккредитованного центра сертификации по проведению инспекционного контроля сертифицированного оборудования на соответствие техническому регламенту (о безопасности оборудования для работы во взрывоопасных средах)</t>
  </si>
  <si>
    <t>Услуги органа по классификации по согласованию технической документации на постройку, переоборудование, модернизацию и ремонт судов, изготовление и ремонт изделий и изготовление материалов для установки на судах</t>
  </si>
  <si>
    <t>Услуги органа по классификации по проведению технического наблюдения объектов морского транспорта (на выполнение требований технического регламента в процессе постройки, переоборудования, модернизации, ремонта судов и их объектов, изготовления и ремонта изделий и изготовления материалов для установки на судах)</t>
  </si>
  <si>
    <t>Услуги органа по классификации по проведению освидетельствований судна в эксплуатации (объекты морского транспорта)</t>
  </si>
  <si>
    <t>Услуги органа по классификации по согласованию технической документации на постройку (изготовление), переоборудование, модернизацию и ремонт объектов внутреннего водного транспорта</t>
  </si>
  <si>
    <t>Услуги органа по классификации по проведению технического наблюдения объектов внутреннего водного транспорта</t>
  </si>
  <si>
    <t>Услуги органа по классификации по проведению классификационного освидетельствования судна в эксплуатации (объекты внутреннего водного транспорта)</t>
  </si>
  <si>
    <t>Услуги органа по классификации по проведению ежегодного освидетельствования судов внутреннего водного транспорта</t>
  </si>
  <si>
    <t>Услуги аккредитованной испытательной лаборатории (центра) по проведению обследования причалов и портовых причальных сооружений внутреннего водного транспорта</t>
  </si>
  <si>
    <t>Услуги органа сертификации по сертификации продукции (за исключением продукции, сертифицируемой в порядке, установленном техническими регламентами)</t>
  </si>
  <si>
    <t>Услуги аккредитованного центра сертификации по проведению планового инспекционного контроля сертифицированной продукции</t>
  </si>
  <si>
    <t>Санитарно-эпидемиологическое благополучие населения</t>
  </si>
  <si>
    <t>Приобретение оборудования для проведения радиационного контроля в организации, деятельность которой связана с обращением с техногенными источниками ионизирующего излучения (измерительное, автоматизированные системы, лабораторная аппаратура и т.д.)</t>
  </si>
  <si>
    <t>Приобретение материалов для проведения контроля качества предстерилизационной очистки изделий</t>
  </si>
  <si>
    <t>Приобретение услуг по проведению лабораторных и инструментальных исследований продуктов, приготовляемых блюд, предметов производственного окружения, контактирующих с пищевыми продуктами</t>
  </si>
  <si>
    <t>Оплата государственной пошлины за выдачу судового санитарного свидетельства о праве плавания</t>
  </si>
  <si>
    <t>Оплата услуг по проведению планового целевого контроля судна</t>
  </si>
  <si>
    <t>Приобретение услуг по проведению приемочных инструментальных испытаний вентиляционных установок</t>
  </si>
  <si>
    <t>Приобретение услуг по лабораторному исследованию состояния воздушной среды в помещениях</t>
  </si>
  <si>
    <t>Приобретение услуг по проведению испытаний осветительных установок</t>
  </si>
  <si>
    <t>Приобретение материалов и оборудования для лабораторного контроля партии сырья</t>
  </si>
  <si>
    <t>Приобретение услуг по химическому и бактериологическому исследованию воды</t>
  </si>
  <si>
    <t>Приобретение материалов и оборудования для анализа металлопримесей, удаленных металлоулавливающими электромагнитами</t>
  </si>
  <si>
    <t>Приобретение материалов и оборудования для анализа на содержание йода в соли</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</si>
  <si>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нормативов 532 предельно допустимых выбросов химических, биологических веществ и микроорганизмов в воздух</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</si>
  <si>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проектов санитарно-защитных зон</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</si>
  <si>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условий выполнения работ, связанных с использованием машин, механизмов, установок, устройств и аппаратов, являющихся источниками физических факторов воздействия на человека (шума, вибрации, ультразвуковых, инфразвуковых воздействий, теплового, ионизирующего, неионизирующего и иного излучения)</t>
  </si>
  <si>
    <t>Приобретение оборудования для контроля концентрации озона</t>
  </si>
  <si>
    <t>Приобретение услуг по проведению измерения максимальных разовых концентраций пыли на рабочем месте</t>
  </si>
  <si>
    <t>Приобретение услуг по проведению измерения среднесменных концентраций пыли на рабочем месте</t>
  </si>
  <si>
    <t>Приобретение услуг по проведению измерения концентраций диоксида кремния в витающей пыли на рабочем месте</t>
  </si>
  <si>
    <t>Приобретение услуг по контролю работы стерилизатора (дезкамеры)</t>
  </si>
  <si>
    <t>Приобретение услуг по контролю микроклимат</t>
  </si>
  <si>
    <t>Приобретение услуг по определению класса опасности отходов</t>
  </si>
  <si>
    <t>Приобретение услуг по контролю качества воды водных объектов</t>
  </si>
  <si>
    <t>Приобретение услуг по проведению экспертизы содержания в продукции пестицидов</t>
  </si>
  <si>
    <t>Приобретение услуг по проведению контроля за содержанием остаточных количеств пестицидов в атмосферном воздухе</t>
  </si>
  <si>
    <t>Приобретение услуг по исследованию и оценке электромагнитного поля</t>
  </si>
  <si>
    <t>Приобретение услуг по контролю за качеством бассейновой воды</t>
  </si>
  <si>
    <t>Приобретение услуг по проведению контроля и мониторинга выбросов в атмосферу</t>
  </si>
  <si>
    <t>Приобретение услуг аккредитованных испытательных лабораторий по контролю качества продукта на отдельных этапах производственного процесса биологически активных добавок к пище</t>
  </si>
  <si>
    <t>Приобретение услуг по исследованию воды из ванны бассейна по органолептическим (мутность, цветность, запах) показателям</t>
  </si>
  <si>
    <t>Приобретение услуг по исследованию воды из ванны бассейна на остаточное содержание обеззараживающих реагентов</t>
  </si>
  <si>
    <t>Приобретение услуг по исследованию воды из ванны бассейна по основным микробиологическим показателям</t>
  </si>
  <si>
    <t>Приобретение услуг по исследованию воды из ванны бассейна по паразитологическим показателям</t>
  </si>
  <si>
    <t>Приобретение услуг по исследованию воды из ванны бассейна на содержание формальдегида</t>
  </si>
  <si>
    <t>Приобретение услуг по контролю за параметрами микроклимата (кроме температуры воздуха в залах ванн) в плавательном бассейне</t>
  </si>
  <si>
    <t>Приобретение услуг по контролю за параметрами освещенности</t>
  </si>
  <si>
    <t>Приобретение услуг по измерению содержания вредных веществ в воздухе рабочей зоны</t>
  </si>
  <si>
    <t>Приобретение услуг по исследованию продукции на листерии</t>
  </si>
  <si>
    <t>Приобретение услуг по исследованию смывов на листерии</t>
  </si>
  <si>
    <t>Приобретение услуг по проведению бактериологического анализа воды</t>
  </si>
  <si>
    <t>Приобретение услуг по исследованию продукции на сальмонеллы</t>
  </si>
  <si>
    <t>Приобретение услуг по исследованию смывов на сальмонеллы</t>
  </si>
  <si>
    <t>Приобретение услуг по бактериологическому и химическому исследованию воды</t>
  </si>
  <si>
    <t>Приобретение услуг по микробиологическому исследованию производственных смывов</t>
  </si>
  <si>
    <t>Приобретение услуг по бактериологическому и биохимическому исследованию мяса</t>
  </si>
  <si>
    <t>Приобретение услуг по измерению шума и вибрации (на рабочем месте, на одном источнике)</t>
  </si>
  <si>
    <t>Приобретение услуг по измерению шума и вибрации (в помещении)</t>
  </si>
  <si>
    <t>Приобретение услуг по исследованию на легионеллы</t>
  </si>
  <si>
    <t>Приобретение услуг по микробиологическому контролю качества пищевой продукции, готовых блюд</t>
  </si>
  <si>
    <t>Приобретение услуг по проведению микробиологических анализов воздуха и стен камер технологического цеха</t>
  </si>
  <si>
    <t>Приобретение услуг по микробиологическому исследованию на промышленную стерильность</t>
  </si>
  <si>
    <t>Приобретение услуг по контролю концентрации моющих и дезинфицирующих средств</t>
  </si>
  <si>
    <t>Приобретение услуг по контролю состояния дрожжей</t>
  </si>
  <si>
    <t>Приобретение услуг по химическому исследованию воды на остаточное содержание хлора</t>
  </si>
  <si>
    <t>Приобретение услуг по химическому исследованию воды</t>
  </si>
  <si>
    <t>Приобретение услуг дозиметрического контроля лазерного излучения</t>
  </si>
  <si>
    <t>Приобретение услуг по измерению локальной вибрации</t>
  </si>
  <si>
    <t>Приобретение услуг по измерению шума (в помещении)</t>
  </si>
  <si>
    <t>Приобретение услуг по исследованию овощей, фруктов, инвентаря, тары, оборудования на наличие возбудителей иерсиниозов</t>
  </si>
  <si>
    <t>Приобретение услуг по исследованию грызунов на наличие возбудителей иерсиниозов</t>
  </si>
  <si>
    <t>Приобретение услуг по микробиологическому исследованию смывов на БГКП (экспресс-метод)</t>
  </si>
  <si>
    <t>Приобретение услуг по исследованию поверхностной радиоактивной загрязненности</t>
  </si>
  <si>
    <t>Приобретение услуг по проведению аттестации</t>
  </si>
  <si>
    <t>Приобретение оборудования для непрерывного учета и регистрации температурного режима</t>
  </si>
  <si>
    <t>Приобретение оборудования и материалов для производственного контроля</t>
  </si>
  <si>
    <t>Приобретение услуг по проведению лабораторного контроля за уровнем содержания вредных веществ в почве</t>
  </si>
  <si>
    <t>Приобретение услуг по проведению лабораторного контроля за уровнем содержания вредных веществ в отходах</t>
  </si>
  <si>
    <t>Приобретение услуг по проведению мониторинга состояния почвы, контроля за уровнем содержания вредных веществ в почве</t>
  </si>
  <si>
    <t>Приобретение услуг по проведению контроля и мониторинга выбросов в атмосферу (за год)</t>
  </si>
  <si>
    <t>Приобретение услуг по проведению лабораторного контроля фракционного, морфологического и химического состава отходов</t>
  </si>
  <si>
    <t>Приобретение услуг лабораторной проверки растительного масла</t>
  </si>
  <si>
    <t>Приобретение услуг по проведению лабораторных исследований качества атмосферного воздуха населенных пунктов в зоне влияния выбросов объекта (за год)</t>
  </si>
  <si>
    <t>Приобретение услуг по микробиологическому и паразитологическому исследованию смывов (экспресс-метод)</t>
  </si>
  <si>
    <t>Приобретение услуг по лабораторному контролю за влиянием хозяйственной деятельности на качество подземных вод</t>
  </si>
  <si>
    <t>Приобретение оборудования и материалов для выполнения лабораторного контроля за соответствием полимерных материалов, предназначенных для использования в строительстве, гигиеническим требованиям и выполнением санитарных правил</t>
  </si>
  <si>
    <t>Приобретение оборудования и материалов для измерения температуры и относительной влажности</t>
  </si>
  <si>
    <t>Приобретение услуг по измерению вибрации на рабочем месте</t>
  </si>
  <si>
    <t>Приобретение услуг по измерению содержания витамина С в готовом блюде</t>
  </si>
  <si>
    <t>Приобретение оборудования и материалов для лабораторного исследования калорийности, выхода блюд и соответствия химического состава блюд рецептуре</t>
  </si>
  <si>
    <t>Приобретение оборудования и материалов для контроля надежности блокирующих устройств системы перекрытия окна для выхода излучений</t>
  </si>
  <si>
    <t>Приобретение универсальной индикаторной бумаги для контроля остаточных количеств моюще-дезинфицирующих средств</t>
  </si>
  <si>
    <t>Приобретение услуг по проверке качества молока на плотность, кислотность, степень чистоты, жир</t>
  </si>
  <si>
    <t>Приобретение услуг по проверке качества молока по бактериальной обсемененности</t>
  </si>
  <si>
    <t>Приобретение услуг по лабораторной проверке качества смазочно- охлаждающих жидкостей и технологических смазок</t>
  </si>
  <si>
    <t>Приобретение услуг по лабораторной проверке биостойкости смазочно-охлаждающих жидкостей</t>
  </si>
  <si>
    <t>Приобретение услуг по бактериологическому исследованию кожи на отсутствие плазмокоагулирующего стафилококка</t>
  </si>
  <si>
    <t>Приобретение термографа</t>
  </si>
  <si>
    <t>Приобретение оборудования для обследования срезов соединительных швов банок</t>
  </si>
  <si>
    <t>Приобретение оборудования для непрерывного контроля за содержанием вредных веществ в воздухе рабочей зоны</t>
  </si>
  <si>
    <t>Приобретение услуг по проведению дозиметрических измерений на установке с НРИ (низкоэнергетическим рентгеновским излучением)</t>
  </si>
  <si>
    <t>Приобретение услуг по проведению измерения содержания в воздухе оксидов азота и оксида углерода</t>
  </si>
  <si>
    <t>Общественное питание</t>
  </si>
  <si>
    <t>Проведение двухразового ежедневного осмотра сотрудника на предмет наличия внешне проявляемых заболеваний по договору с медицинским учреждением без применения специальных средств и анализов</t>
  </si>
  <si>
    <t>Информация и информатизация</t>
  </si>
  <si>
    <t>Настройка рабочего места для КЭП</t>
  </si>
  <si>
    <t>Сфера</t>
  </si>
  <si>
    <t xml:space="preserve">Наименование совокупности (группы) объекта расчета, </t>
  </si>
  <si>
    <t>Количество</t>
  </si>
  <si>
    <t>Столовые, закусочные - количество,единиц</t>
  </si>
  <si>
    <t>Столовые, закусочные - посадочных мест, единиц</t>
  </si>
  <si>
    <t>Столовые, закусочные - площадь зала обслуживания, кв. м</t>
  </si>
  <si>
    <t>Столовые, находящиеся на балансе учебных заведений, организаций, промышленных предприятий - количество,единиц</t>
  </si>
  <si>
    <t>Столовые, находящиеся на балансе учебных заведений, организаций, промышленных предприятий - посадочных мест, единиц</t>
  </si>
  <si>
    <t>Столовые, находящиеся на балансе учебных заведений, организаций, промышленных предприятий - площадь зала обслуживания, кв. м</t>
  </si>
  <si>
    <t>Рестораны, кафе, бары - количество,единиц</t>
  </si>
  <si>
    <t>Рестораны, кафе, бары - посадочных мест, единиц</t>
  </si>
  <si>
    <t>Рестораны, кафе, бары - площадь зала обслуживания, кв. м</t>
  </si>
  <si>
    <t>Число туроператоров, внесенных в течение года в единый реестр туроператоров</t>
  </si>
  <si>
    <t>неизвестно</t>
  </si>
  <si>
    <t>Пример: из калькулятора издержек regulation.gov.ru</t>
  </si>
  <si>
    <t>Число туроператоров, сведения о которых в едином реестре туроператоров были изменены (общее число уведомлений об изменении сведений о туроператоре)</t>
  </si>
  <si>
    <t>Число туроператоров, получивших финансовое обеспечение на новый срок</t>
  </si>
  <si>
    <t>Число гостиниц и иных средств размещения, принадлежащих (эксплуатируемых) СПД, которым присвоена категория</t>
  </si>
  <si>
    <t>Число туроператоров, применяющих упрощенную систему налогообложения, получивших финансовое обеспечение на новый срок</t>
  </si>
  <si>
    <t>Транспорт</t>
  </si>
  <si>
    <t>Число организации осуществляющих деятельность по перевозкам воздушным транспортом пассажиров и грузов</t>
  </si>
  <si>
    <t>Форма предоставления сведений для проведения категорирования объектов транспортной инфраструктуры автомобильного транспорта</t>
  </si>
  <si>
    <t>Сопроводительное письмо по объекту транспортной инфраструктуры</t>
  </si>
  <si>
    <t>Заверенная подписью и печатью субъекта транспортной инфраструктуры ксерокопия свидетельства о государственной регистрации права на здание и территорию объекта транспортной инфраструктуры</t>
  </si>
  <si>
    <t>Выписка из кадастрового паспорта на земельный участок объекта транспортной инфраструктуры</t>
  </si>
  <si>
    <t>Заверенные подписью и печатью субъекта транспортной инфраструктуры ксерокопии паспортов транспортных средств</t>
  </si>
  <si>
    <t>Передача сведений по перевозкам пассажиров, включая персональные данные о пассажирах и персонале (экипаже) транспортных средств</t>
  </si>
  <si>
    <t>Заявление о регистрации</t>
  </si>
  <si>
    <t>Заключение органа государственного транспортного контроля</t>
  </si>
  <si>
    <t>Заявления владельца остановочного пункта о выдаче данного заключения</t>
  </si>
  <si>
    <t>Копирование документов</t>
  </si>
  <si>
    <t>Реализация планов обеспечения транспортной безопасности объектов транспортной инфраструктуры или транспортных средств</t>
  </si>
  <si>
    <t>Аттестация исполнительных руководителей и специалистов проводится во всех организациях и (или) их подразделениях, осуществляющих перевозку пассажиров и грузов</t>
  </si>
  <si>
    <t>Форма предоставления сведений для проведения категорирования транспортных средств (автобусов) автомобильного транспорта</t>
  </si>
  <si>
    <t>Сопроводительное письмо по транспортному средству</t>
  </si>
  <si>
    <t>Отчет об осуществлении регулярных перевозок</t>
  </si>
  <si>
    <t>Оценка уязвимости объектов транспортной инфраструктуры и транспортных средств</t>
  </si>
  <si>
    <t>Разработка планов обеспечения транспортной безопасности объектов транспортной инфраструктуры и  транспортных средств</t>
  </si>
  <si>
    <t>Группы действий для типовых операций</t>
  </si>
  <si>
    <t>Размещение информации об организации, продукции, работах, услугах</t>
  </si>
  <si>
    <t>Среднемесячная номинальная начисленная заработная плата работающих в экономике, в целом по РФ (рубль)</t>
  </si>
  <si>
    <t>Источник: Росстат (ЕМИСС), дата обращения 30.07.2023</t>
  </si>
  <si>
    <t/>
  </si>
  <si>
    <t>2023</t>
  </si>
  <si>
    <t>Количество рабочих дней в Производственном календаре</t>
  </si>
  <si>
    <t>январь</t>
  </si>
  <si>
    <t>февраль</t>
  </si>
  <si>
    <t>март</t>
  </si>
  <si>
    <t>апрель</t>
  </si>
  <si>
    <t>В среднем по всем видам экономической деятельности</t>
  </si>
  <si>
    <t>СЕЛЬСКОЕ, ЛЕСНОЕ ХОЗЯЙСТВО, ОХОТА, РЫБОЛОВСТВО И РЫБОВОДСТВО</t>
  </si>
  <si>
    <t xml:space="preserve">    Растениеводство и животноводство, охота и предоставление соответствующих услуг в этих областях</t>
  </si>
  <si>
    <t xml:space="preserve">        Выращивание однолетних культур</t>
  </si>
  <si>
    <t xml:space="preserve">        Выращивание многолетних культур</t>
  </si>
  <si>
    <t xml:space="preserve">        Выращивание рассады</t>
  </si>
  <si>
    <t xml:space="preserve">        Животноводство</t>
  </si>
  <si>
    <t xml:space="preserve">        Смешанное сельское хозяйство</t>
  </si>
  <si>
    <t xml:space="preserve">        Деятельность вспомогательная в области производства сельскохозяйственных культур и послеуборочной обработки сельхозпродукции</t>
  </si>
  <si>
    <t xml:space="preserve">        Охота, отлов и отстрел диких животных, включая предоставление услуг в этих областях</t>
  </si>
  <si>
    <t xml:space="preserve">    Лесоводство и лесозаготовки</t>
  </si>
  <si>
    <t xml:space="preserve">        Лесоводство и прочая лесохозяйственная деятельность</t>
  </si>
  <si>
    <t xml:space="preserve">        Лесозаготовки</t>
  </si>
  <si>
    <t xml:space="preserve">        Сбор и заготовка пищевых лесных ресурсов, недревесных лесных ресурсов и лекарственных растений</t>
  </si>
  <si>
    <t xml:space="preserve">        Предоставление услуг в области лесоводства и лесозаготовок</t>
  </si>
  <si>
    <t xml:space="preserve">    Рыболовство и рыбоводство</t>
  </si>
  <si>
    <t xml:space="preserve">        Рыболовство</t>
  </si>
  <si>
    <t xml:space="preserve">        Рыбоводство</t>
  </si>
  <si>
    <t>ДОБЫЧА ПОЛЕЗНЫХ ИСКОПАЕМЫХ</t>
  </si>
  <si>
    <t xml:space="preserve">    Добыча угля</t>
  </si>
  <si>
    <t xml:space="preserve">        Добыча и обогащение угля и антрацита</t>
  </si>
  <si>
    <t xml:space="preserve">        Добыча и обогащение бурого угля (лигнита)</t>
  </si>
  <si>
    <t xml:space="preserve">    Добыча нефти и природного газа</t>
  </si>
  <si>
    <t xml:space="preserve">        Добыча нефти и нефтяного (попутного) газа</t>
  </si>
  <si>
    <t xml:space="preserve">        Добыча природного газа и газового конденсата</t>
  </si>
  <si>
    <t xml:space="preserve">    Добыча металлических руд</t>
  </si>
  <si>
    <t xml:space="preserve">        Добыча и обогащение железных руд</t>
  </si>
  <si>
    <t xml:space="preserve">        Добыча руд цветных металлов</t>
  </si>
  <si>
    <t xml:space="preserve">    Добыча прочих полезных ископаемых</t>
  </si>
  <si>
    <t xml:space="preserve">        Добыча камня, песка и глины</t>
  </si>
  <si>
    <t xml:space="preserve">        Добыча полезных ископаемых, не включенных в другие группировки</t>
  </si>
  <si>
    <t xml:space="preserve">    Предоставление услуг в области добычи полезных ископаемых</t>
  </si>
  <si>
    <t xml:space="preserve">        Предоставление услуг в области добычи нефти и природного газа</t>
  </si>
  <si>
    <t xml:space="preserve">        Предоставление услуг в других областях добычи полезных ископаемых</t>
  </si>
  <si>
    <t>ОБРАБАТЫВАЮЩИЕ ПРОИЗВОДСТВА</t>
  </si>
  <si>
    <t xml:space="preserve">    Производство пищевых продуктов</t>
  </si>
  <si>
    <t xml:space="preserve">        Переработка и консервирование мяса и мясной пищевой продукции</t>
  </si>
  <si>
    <t xml:space="preserve">        Переработка и консервирование рыбы, ракообразных и моллюсков</t>
  </si>
  <si>
    <t xml:space="preserve">        Переработка и консервирование фруктов и овощей</t>
  </si>
  <si>
    <t xml:space="preserve">        Производство растительных и животных масел и жиров</t>
  </si>
  <si>
    <t xml:space="preserve">        Производство молочной продукции</t>
  </si>
  <si>
    <t xml:space="preserve">        Производство продуктов мукомольной и крупяной промышленности, крахмала и крахмалосодержащих продуктов</t>
  </si>
  <si>
    <t xml:space="preserve">        Производство хлебобулочных и мучных кондитерских изделий</t>
  </si>
  <si>
    <t xml:space="preserve">        Производство прочих пищевых продуктов</t>
  </si>
  <si>
    <t xml:space="preserve">        Производство готовых кормов для животных</t>
  </si>
  <si>
    <t xml:space="preserve">    Производство напитков</t>
  </si>
  <si>
    <t xml:space="preserve">        Производство напитков</t>
  </si>
  <si>
    <t xml:space="preserve">    Производство табачных изделий</t>
  </si>
  <si>
    <t xml:space="preserve">        Производство табачных изделий</t>
  </si>
  <si>
    <t xml:space="preserve">    Производство текстильных изделий</t>
  </si>
  <si>
    <t xml:space="preserve">        Подготовка и прядение текстильных волокон</t>
  </si>
  <si>
    <t xml:space="preserve">        Производство текстильных тканей</t>
  </si>
  <si>
    <t xml:space="preserve">        Отделка тканей и текстильных изделий</t>
  </si>
  <si>
    <t xml:space="preserve">        Производство прочих текстильных изделий</t>
  </si>
  <si>
    <t xml:space="preserve">    Производство одежды</t>
  </si>
  <si>
    <t xml:space="preserve">        Производство одежды, кроме одежды из меха</t>
  </si>
  <si>
    <t xml:space="preserve">        Производство меховых изделий</t>
  </si>
  <si>
    <t xml:space="preserve">        Производство вязаных и трикотажных изделий одежды</t>
  </si>
  <si>
    <t xml:space="preserve">    Производство кожи и изделий из кожи</t>
  </si>
  <si>
    <t xml:space="preserve">        Дубление и отделка кожи, производство чемоданов, сумок, шорно-седельных изделий из кожи; выделка и крашение меха</t>
  </si>
  <si>
    <t xml:space="preserve">        Производство обуви</t>
  </si>
  <si>
    <t xml:space="preserve">    Обработка древесины и производство изделий из дерева и пробки, кроме мебели, производство изделий из соломки и материалов для плетения</t>
  </si>
  <si>
    <t xml:space="preserve">        Распиловка и строгание древесины</t>
  </si>
  <si>
    <t xml:space="preserve">        Производство изделий из дерева, пробки, соломки и материалов для плетения</t>
  </si>
  <si>
    <t xml:space="preserve">    Производство бумаги и бумажных изделий</t>
  </si>
  <si>
    <t xml:space="preserve">        Производство целлюлозы, древесной массы, бумаги и картона</t>
  </si>
  <si>
    <t xml:space="preserve">        Производство изделий из бумаги и картона</t>
  </si>
  <si>
    <t xml:space="preserve">    Деятельность полиграфическая и копирование носителей информации</t>
  </si>
  <si>
    <t xml:space="preserve">        Деятельность полиграфическая и предоставление услуг в этой области</t>
  </si>
  <si>
    <t xml:space="preserve">        Копирование записанных носителей информации</t>
  </si>
  <si>
    <t xml:space="preserve">    Производство кокса и нефтепродуктов</t>
  </si>
  <si>
    <t xml:space="preserve">        Производство кокса</t>
  </si>
  <si>
    <t xml:space="preserve">        Производство нефтепродуктов</t>
  </si>
  <si>
    <t xml:space="preserve">        Агломерация угля, антрацита и бурого угля (лигнита) и производство термоуглей</t>
  </si>
  <si>
    <t xml:space="preserve">    Производство химических веществ и химических продуктов</t>
  </si>
  <si>
    <t xml:space="preserve">        Производство основных химических веществ, удобрений и азотных соединений, пластмасс и синтетического каучука в первичных формах</t>
  </si>
  <si>
    <t xml:space="preserve">        Производство пестицидов и прочих агрохимических продуктов</t>
  </si>
  <si>
    <t xml:space="preserve">        Производство красок, лаков и аналогичных материалов для нанесения покрытий, полиграфических красок и мастик</t>
  </si>
  <si>
    <t xml:space="preserve">        Производство мыла и моющих, чистящих и полирующих средств; парфюмерных и косметических средств</t>
  </si>
  <si>
    <t xml:space="preserve">        Производство прочих химических продуктов</t>
  </si>
  <si>
    <t xml:space="preserve">        Производство химических волокон</t>
  </si>
  <si>
    <t xml:space="preserve">    Производство лекарственных средств и материалов, применяемых в медицинских целях и ветеринарии</t>
  </si>
  <si>
    <t xml:space="preserve">        Производство фармацевтических субстанций</t>
  </si>
  <si>
    <t xml:space="preserve">        Производство лекарственных препаратов и материалов, применяемых в медицинских целях и ветеринарии</t>
  </si>
  <si>
    <t xml:space="preserve">    Производство резиновых и пластмассовых изделий</t>
  </si>
  <si>
    <t xml:space="preserve">        Производство резиновых изделий</t>
  </si>
  <si>
    <t xml:space="preserve">        Производство изделий из пластмасс</t>
  </si>
  <si>
    <t xml:space="preserve">    Производство прочей неметаллической минеральной продукции</t>
  </si>
  <si>
    <t xml:space="preserve">        Производство стекла и изделий из стекла</t>
  </si>
  <si>
    <t xml:space="preserve">        Производство огнеупорных изделий</t>
  </si>
  <si>
    <t xml:space="preserve">        Производство строительных керамических материалов</t>
  </si>
  <si>
    <t xml:space="preserve">        Производство прочих фарфоровых и керамических изделий</t>
  </si>
  <si>
    <t xml:space="preserve">        Производство цемента, извести и гипса</t>
  </si>
  <si>
    <t xml:space="preserve">        Производство изделий из бетона, цемента и гипса</t>
  </si>
  <si>
    <t xml:space="preserve">        Резка, обработка и отделка камня</t>
  </si>
  <si>
    <t xml:space="preserve">        Производство абразивных и неметаллических минеральных изделий, не включенных в другие группировки</t>
  </si>
  <si>
    <t xml:space="preserve">    Производство металлургическое</t>
  </si>
  <si>
    <t xml:space="preserve">        Производство чугуна, стали и ферросплавов</t>
  </si>
  <si>
    <t xml:space="preserve">        Производство стальных труб, полых профилей и фитингов</t>
  </si>
  <si>
    <t xml:space="preserve">        Производство прочих стальных изделий первичной обработкой</t>
  </si>
  <si>
    <t xml:space="preserve">        Производство основных драгоценных металлов и прочих цветных металлов, производство ядерного топлива</t>
  </si>
  <si>
    <t xml:space="preserve">        Литье металлов</t>
  </si>
  <si>
    <t xml:space="preserve">    Производство готовых металлических изделий, кроме машин и оборудования</t>
  </si>
  <si>
    <t xml:space="preserve">        Производство строительных металлических конструкций и изделий</t>
  </si>
  <si>
    <t xml:space="preserve">        Производство металлических цистерн, резервуаров и прочих емкостей</t>
  </si>
  <si>
    <t xml:space="preserve">        Производство паровых котлов, кроме котлов центрального отопления</t>
  </si>
  <si>
    <t xml:space="preserve">        Ковка, прессование, штамповка и профилирование; изготовление изделий методом порошковой металлургии</t>
  </si>
  <si>
    <t xml:space="preserve">        Обработка металлов и нанесение покрытий на металлы; механическая обработка металлов</t>
  </si>
  <si>
    <t xml:space="preserve">        Производство ножевых изделий и столовых приборов, инструментов и универсальных скобяных изделий</t>
  </si>
  <si>
    <t xml:space="preserve">    Производство компьютеров, электронных и оптических изделий</t>
  </si>
  <si>
    <t xml:space="preserve">        Производство элементов электронной аппаратуры и печатных схем (плат)</t>
  </si>
  <si>
    <t xml:space="preserve">        Производство компьютеров и периферийного оборудования</t>
  </si>
  <si>
    <t xml:space="preserve">        Производство коммуникационного оборудования</t>
  </si>
  <si>
    <t xml:space="preserve">        Производство бытовой электроники</t>
  </si>
  <si>
    <t xml:space="preserve">        Производство контрольно-измерительных и навигационных приборов и аппаратов; производство часов</t>
  </si>
  <si>
    <t xml:space="preserve">        Производство облучающего и электротерапевтического оборудования, применяемого в медицинских целях</t>
  </si>
  <si>
    <t xml:space="preserve">        Производство оптических приборов, фото- и кинооборудования</t>
  </si>
  <si>
    <t xml:space="preserve">        Производство незаписанных магнитных и оптических технических носителей информации</t>
  </si>
  <si>
    <t xml:space="preserve">    Производство электрического оборудования</t>
  </si>
  <si>
    <t xml:space="preserve">        Производство электродвигателей, генераторов, трансформаторов и распределительных устройств, а также контрольно-измерительной аппаратуры</t>
  </si>
  <si>
    <t xml:space="preserve">        Производство электрических аккумуляторов и аккумуляторных батарей</t>
  </si>
  <si>
    <t xml:space="preserve">        Производство кабелей и кабельной арматуры</t>
  </si>
  <si>
    <t xml:space="preserve">        Производство электрических ламп и осветительного оборудования</t>
  </si>
  <si>
    <t xml:space="preserve">        Производство бытовых приборов</t>
  </si>
  <si>
    <t xml:space="preserve">        Производство прочего электрического оборудования</t>
  </si>
  <si>
    <t xml:space="preserve">    Производство машин и оборудования, не включенных в другие группировки</t>
  </si>
  <si>
    <t xml:space="preserve">        Производство машин и оборудования общего назначения</t>
  </si>
  <si>
    <t xml:space="preserve">        Производство прочих машин и оборудования общего назначения</t>
  </si>
  <si>
    <t xml:space="preserve">        Производство машин и оборудования для сельского и лесного хозяйства</t>
  </si>
  <si>
    <t xml:space="preserve">        Производство станков, машин и оборудования для обработки металлов и прочих твердых материалов</t>
  </si>
  <si>
    <t xml:space="preserve">        Производство прочих машин специального назначения</t>
  </si>
  <si>
    <t xml:space="preserve">    Производство автотранспортных средств, прицепов и полуприцепов</t>
  </si>
  <si>
    <t xml:space="preserve">        Производство автотранспортных средств</t>
  </si>
  <si>
    <t xml:space="preserve">        Производство кузовов для автотранспортных средств; производство прицепов и полуприцепов</t>
  </si>
  <si>
    <t xml:space="preserve">        Производство комплектующих и принадлежностей для автотранспортных средств</t>
  </si>
  <si>
    <t xml:space="preserve">    Производство прочих транспортных средств и оборудования</t>
  </si>
  <si>
    <t xml:space="preserve">        Производство железнодорожных локомотивов и подвижного состава</t>
  </si>
  <si>
    <t xml:space="preserve">        Производство летательных аппаратов, включая космические, и соответствующего оборудования</t>
  </si>
  <si>
    <t xml:space="preserve">        Производство транспортных средств и оборудования, не включенных в другие группировки</t>
  </si>
  <si>
    <t xml:space="preserve">    Производство мебели</t>
  </si>
  <si>
    <t xml:space="preserve">        Производство мебели</t>
  </si>
  <si>
    <t xml:space="preserve">    Производство прочих готовых изделий</t>
  </si>
  <si>
    <t xml:space="preserve">        Производство ювелирных изделий, бижутерии и подобных товаров</t>
  </si>
  <si>
    <t xml:space="preserve">        Производство музыкальных инструментов</t>
  </si>
  <si>
    <t xml:space="preserve">        Производство спортивных товаров</t>
  </si>
  <si>
    <t xml:space="preserve">        Производство игр и игрушек</t>
  </si>
  <si>
    <t xml:space="preserve">        Производство медицинских инструментов и оборудования</t>
  </si>
  <si>
    <t xml:space="preserve">        Производство изделий, не включенных в другие группировки</t>
  </si>
  <si>
    <t xml:space="preserve">    Ремонт и монтаж машин и оборудования</t>
  </si>
  <si>
    <t xml:space="preserve">        Ремонт и монтаж металлических изделий, машин и оборудования</t>
  </si>
  <si>
    <t xml:space="preserve">        Монтаж промышленных машин и оборудования</t>
  </si>
  <si>
    <t>ОБЕСПЕЧЕНИЕ ЭЛЕКТРИЧЕСКОЙ ЭНЕРГИЕЙ, ГАЗОМ И ПАРОМ; КОНДИЦИОНИРОВАНИЕ ВОЗДУХА</t>
  </si>
  <si>
    <t xml:space="preserve">    Обеспечение электрической энергией, газом и паром; кондиционирование воздуха</t>
  </si>
  <si>
    <t xml:space="preserve">        Производство, передача и распределение электроэнергии</t>
  </si>
  <si>
    <t xml:space="preserve">        Производство и распределение газообразного топлива</t>
  </si>
  <si>
    <t xml:space="preserve">        Производство, передача и распределение пара и горячей воды; кондиционирование воздуха</t>
  </si>
  <si>
    <t>ВОДОСНАБЖЕНИЕ; ВОДООТВЕДЕНИЕ, ОРГАНИЗАЦИЯ СБОРА И УТИЛИЗАЦИИ ОТХОДОВ, ДЕЯТЕЛЬНОСТЬ ПО ЛИКВИДАЦИИ ЗАГРЯЗНЕНИЙ</t>
  </si>
  <si>
    <t xml:space="preserve">    Забор, очистка и распределение воды</t>
  </si>
  <si>
    <t xml:space="preserve">        Забор, очистка и распределение воды</t>
  </si>
  <si>
    <t xml:space="preserve">    Сбор и обработка сточных вод</t>
  </si>
  <si>
    <t xml:space="preserve">        Сбор и обработка сточных вод</t>
  </si>
  <si>
    <t xml:space="preserve">    Сбор, обработка и утилизация отходов; обработка вторичного сырья</t>
  </si>
  <si>
    <t xml:space="preserve">        Сбор отходов</t>
  </si>
  <si>
    <t xml:space="preserve">        Обработка и утилизация отходов</t>
  </si>
  <si>
    <t xml:space="preserve">        Деятельность по обработке вторичного сырья</t>
  </si>
  <si>
    <t xml:space="preserve">    Предоставление услуг в области ликвидации последствий загрязнений и прочих услуг, связанных с удалением отходов</t>
  </si>
  <si>
    <t xml:space="preserve">        Предоставление услуг в области ликвидации последствий загрязнений и прочих услуг, связанных с удалением отходов</t>
  </si>
  <si>
    <t>СТРОИТЕЛЬСТВО</t>
  </si>
  <si>
    <t xml:space="preserve">    Строительство зданий</t>
  </si>
  <si>
    <t xml:space="preserve">        Разработка строительных проектов</t>
  </si>
  <si>
    <t xml:space="preserve">        Строительство жилых и нежилых зданий</t>
  </si>
  <si>
    <t xml:space="preserve">    Строительство инженерных сооружений</t>
  </si>
  <si>
    <t xml:space="preserve">        Строительство автомобильных и железных дорог</t>
  </si>
  <si>
    <t xml:space="preserve">        Строительство инженерных коммуникаций</t>
  </si>
  <si>
    <t xml:space="preserve">        Строительство прочих инженерных сооружений</t>
  </si>
  <si>
    <t xml:space="preserve">    Работы строительные специализированные</t>
  </si>
  <si>
    <t xml:space="preserve">        Разборка и снос зданий, подготовка строительного участка</t>
  </si>
  <si>
    <t xml:space="preserve">        Производство электромонтажных, санитарно-технических и прочих строительно-монтажных работ</t>
  </si>
  <si>
    <t xml:space="preserve">        Работы строительные отделочные</t>
  </si>
  <si>
    <t xml:space="preserve">        Работы строительные специализированные прочие</t>
  </si>
  <si>
    <t>ТОРГОВЛЯ ОПТОВАЯ И РОЗНИЧНАЯ; РЕМОНТ АВТОТРАНСПОРТНЫХ СРЕДСТВ И МОТОЦИКЛОВ</t>
  </si>
  <si>
    <t xml:space="preserve">    Торговля оптовая и розничная автотранспортными средствами и мотоциклами и их ремонт</t>
  </si>
  <si>
    <t xml:space="preserve">        Торговля автотранспортными средствами</t>
  </si>
  <si>
    <t xml:space="preserve">        Техническое обслуживание и ремонт автотранспортных средств</t>
  </si>
  <si>
    <t xml:space="preserve">        Торговля автомобильными деталями, узлами и принадлежностями</t>
  </si>
  <si>
    <t xml:space="preserve">        Торговля мотоциклами, их деталями, узлами и принадлежностями; техническое обслуживание и ремонт мотоциклов</t>
  </si>
  <si>
    <t xml:space="preserve">    Торговля оптовая, кроме оптовой торговли автотранспортными средствами и мотоциклами</t>
  </si>
  <si>
    <t xml:space="preserve">        Торговля оптовая за вознаграждение или на договорной основе</t>
  </si>
  <si>
    <t xml:space="preserve">        Торговля оптовая сельскохозяйственным сырьем и живыми животными</t>
  </si>
  <si>
    <t xml:space="preserve">        Торговля оптовая пищевыми продуктами, напитками и табачными изделиями</t>
  </si>
  <si>
    <t xml:space="preserve">        Торговля оптовая непродовольственными потребительскими товарами</t>
  </si>
  <si>
    <t xml:space="preserve">        Торговля оптовая информационным и коммуникационным оборудованием</t>
  </si>
  <si>
    <t xml:space="preserve">        Торговля оптовая прочими машинами, оборудованием и принадлежностями</t>
  </si>
  <si>
    <t xml:space="preserve">        Торговля оптовая специализированная прочая</t>
  </si>
  <si>
    <t xml:space="preserve">        Торговля оптовая неспециализированная</t>
  </si>
  <si>
    <t xml:space="preserve">    Торговля розничная, кроме торговли автотранспортными средствами и мотоциклами</t>
  </si>
  <si>
    <t xml:space="preserve">        Торговля розничная в неспециализированных магазинах</t>
  </si>
  <si>
    <t xml:space="preserve">        Торговля розничная пищевыми продуктами, напитками и табачными изделиями в специализированных магазинах</t>
  </si>
  <si>
    <t xml:space="preserve">        Торговля розничная моторным топливом в специализированных магазинах</t>
  </si>
  <si>
    <t xml:space="preserve">        Торговля розничная информационным и коммуникационным оборудованием в специализированных магазинах</t>
  </si>
  <si>
    <t xml:space="preserve">        Торговля розничная прочими бытовыми изделиями в специализированных магазинах</t>
  </si>
  <si>
    <t xml:space="preserve">        Торговля розничная товарами культурно-развлекательного назначения в специализированных магазинах</t>
  </si>
  <si>
    <t xml:space="preserve">        Торговля розничная прочими товарами в специализированных магазинах</t>
  </si>
  <si>
    <t xml:space="preserve">        Торговля розничная в нестационарных торговых объектах и на рынках</t>
  </si>
  <si>
    <t xml:space="preserve">        Торговля розничная вне магазинов, палаток, рынков</t>
  </si>
  <si>
    <t>ТРАНСПОРТИРОВКА И ХРАНЕНИЕ</t>
  </si>
  <si>
    <t xml:space="preserve">    Деятельность сухопутного и трубопроводного транспорта</t>
  </si>
  <si>
    <t xml:space="preserve">        Деятельность железнодорожного транспорта: междугородные и международные пассажирские перевозки</t>
  </si>
  <si>
    <t xml:space="preserve">        Деятельность железнодорожного транспорта: грузовые перевозки</t>
  </si>
  <si>
    <t xml:space="preserve">        Деятельность прочего сухопутного пассажирского транспорта</t>
  </si>
  <si>
    <t xml:space="preserve">        Деятельность автомобильного грузового транспорта и услуги по перевозкам</t>
  </si>
  <si>
    <t xml:space="preserve">        Деятельность трубопроводного транспорта</t>
  </si>
  <si>
    <t xml:space="preserve">    Деятельность водного транспорта</t>
  </si>
  <si>
    <t xml:space="preserve">        Деятельность морского пассажирского транспорта</t>
  </si>
  <si>
    <t xml:space="preserve">        Деятельность морского грузового транспорта</t>
  </si>
  <si>
    <t xml:space="preserve">        Деятельность внутреннего водного пассажирского транспорта</t>
  </si>
  <si>
    <t xml:space="preserve">        Деятельность внутреннего водного грузового транспорта</t>
  </si>
  <si>
    <t xml:space="preserve">    Деятельность воздушного и космического транспорта</t>
  </si>
  <si>
    <t xml:space="preserve">        Деятельность пассажирского воздушного транспорта</t>
  </si>
  <si>
    <t xml:space="preserve">        Деятельность грузового воздушного транспорта и космического транспорта</t>
  </si>
  <si>
    <t xml:space="preserve">    Складское хозяйство и вспомогательная транспортная деятельность</t>
  </si>
  <si>
    <t xml:space="preserve">        Деятельность по складированию и хранению</t>
  </si>
  <si>
    <t xml:space="preserve">        Деятельность транспортная вспомогательная</t>
  </si>
  <si>
    <t xml:space="preserve">    Деятельность почтовой связи и курьерская деятельность</t>
  </si>
  <si>
    <t xml:space="preserve">        Деятельность почтовой связи общего пользования</t>
  </si>
  <si>
    <t xml:space="preserve">        Деятельность почтовой связи прочая и курьерская деятельность</t>
  </si>
  <si>
    <t>ДЕЯТЕЛЬНОСТЬ ГОСТИНИЦ И ПРЕДПРИЯТИЙ ОБЩЕСТВЕННОГО ПИТАНИЯ</t>
  </si>
  <si>
    <t xml:space="preserve">    Деятельность по предоставлению мест для временного проживания</t>
  </si>
  <si>
    <t xml:space="preserve">        Деятельность гостиниц и прочих мест для временного проживания</t>
  </si>
  <si>
    <t xml:space="preserve">        Деятельность по предоставлению мест для краткосрочного проживания</t>
  </si>
  <si>
    <t xml:space="preserve">        Деятельность по предоставлению мест для временного проживания в кемпингах, жилых автофургонах и туристических автоприцепах</t>
  </si>
  <si>
    <t xml:space="preserve">        Деятельность по предоставлению прочих мест для временного проживания</t>
  </si>
  <si>
    <t xml:space="preserve">    Деятельность по предоставлению продуктов питания и напитков</t>
  </si>
  <si>
    <t xml:space="preserve">        Деятельность ресторанов и услуги по доставке продуктов питания</t>
  </si>
  <si>
    <t xml:space="preserve">        Деятельность предприятий общественного питания по обслуживанию торжественных мероприятий и прочим видам организации питания</t>
  </si>
  <si>
    <t xml:space="preserve">        Подача напитков</t>
  </si>
  <si>
    <t>ДЕЯТЕЛЬНОСТЬ В ОБЛАСТИ ИНФОРМАЦИИ И СВЯЗИ</t>
  </si>
  <si>
    <t xml:space="preserve">    Деятельность издательская</t>
  </si>
  <si>
    <t xml:space="preserve">        Издание книг, периодических публикаций и другие виды издательской деятельности</t>
  </si>
  <si>
    <t xml:space="preserve">        Издание программного обеспечения</t>
  </si>
  <si>
    <t xml:space="preserve">    Производство кинофильмов, видеофильмов и телевизионных программ, издание звукозаписей и нот</t>
  </si>
  <si>
    <t xml:space="preserve">        Производство кинофильмов, видеофильмов и телевизионных программ</t>
  </si>
  <si>
    <t xml:space="preserve">        Деятельность в области звукозаписи и издания музыкальных произведений</t>
  </si>
  <si>
    <t xml:space="preserve">    Деятельность в области телевизионного и радиовещания</t>
  </si>
  <si>
    <t xml:space="preserve">        Деятельность в области радиовещания</t>
  </si>
  <si>
    <t xml:space="preserve">        Деятельность в области телевизионного вещания</t>
  </si>
  <si>
    <t xml:space="preserve">    Деятельность в сфере телекоммуникаций</t>
  </si>
  <si>
    <t xml:space="preserve">        Деятельность в области связи на базе проводных технологий</t>
  </si>
  <si>
    <t xml:space="preserve">        Деятельность в области связи на базе беспроводных технологий</t>
  </si>
  <si>
    <t xml:space="preserve">        Деятельность в области спутниковой связи</t>
  </si>
  <si>
    <t xml:space="preserve">        Деятельность в области телекоммуникаций прочая</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</si>
  <si>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</si>
  <si>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</si>
  <si>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Деятельность в области информационных технологий</t>
  </si>
  <si>
    <t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t>
  </si>
  <si>
    <t xml:space="preserve">        Деятельность в области информационных услуг прочая</t>
  </si>
  <si>
    <t>ДЕЯТЕЛЬНОСТЬ ФИНАНСОВАЯ И СТРАХОВАЯ</t>
  </si>
  <si>
    <t xml:space="preserve">    Деятельность по предоставлению финансовых услуг, кроме услуг по страхованию и пенсионному обеспечению</t>
  </si>
  <si>
    <t xml:space="preserve">        Денежное посредничество</t>
  </si>
  <si>
    <t xml:space="preserve">        Деятельность холдинговых компаний</t>
  </si>
  <si>
    <t xml:space="preserve">        Деятельность инвестиционных фондов и аналогичных финансовых организаций</t>
  </si>
  <si>
    <t xml:space="preserve">        Деятельность по предоставлению прочих финансовых услуг, кроме услуг по страхованию и пенсионному обеспечению</t>
  </si>
  <si>
    <t xml:space="preserve">    Страхование, перестрахование, деятельность негосударственных пенсионных фондов, кроме обязательного социального обеспечения</t>
  </si>
  <si>
    <t xml:space="preserve">        Страхование</t>
  </si>
  <si>
    <t xml:space="preserve">        Перестрахование</t>
  </si>
  <si>
    <t xml:space="preserve">        Деятельность негосударственных пенсионных фондов</t>
  </si>
  <si>
    <t xml:space="preserve">    Деятельность вспомогательная в сфере финансовых услуг и страхования</t>
  </si>
  <si>
    <t xml:space="preserve">        Деятельность вспомогательная в сфере финансовых услуг, кроме страхования и пенсионного обеспечения</t>
  </si>
  <si>
    <t xml:space="preserve">        Деятельность вспомогательная в сфере страхования и пенсионного обеспечения</t>
  </si>
  <si>
    <t xml:space="preserve">        Деятельность по управлению фондами</t>
  </si>
  <si>
    <t>ДЕЯТЕЛЬНОСТЬ ПО ОПЕРАЦИЯМ С НЕДВИЖИМЫМ ИМУЩЕСТВОМ</t>
  </si>
  <si>
    <t xml:space="preserve">    Операции с недвижимым имуществом</t>
  </si>
  <si>
    <t xml:space="preserve">        Покупка и продажа собственного недвижимого имущества</t>
  </si>
  <si>
    <t xml:space="preserve">        Аренда и управление собственным или арендованным недвижимым имуществом</t>
  </si>
  <si>
    <t xml:space="preserve">        Операции с недвижимым имуществом за вознаграждение или на договорной основе</t>
  </si>
  <si>
    <t>ДЕЯТЕЛЬНОСТЬ ПРОФЕССИОНАЛЬНАЯ, НАУЧНАЯ И ТЕХНИЧЕСКАЯ</t>
  </si>
  <si>
    <t xml:space="preserve">    Деятельность в области права и бухгалтерского учета</t>
  </si>
  <si>
    <t xml:space="preserve">        Деятельность в области права</t>
  </si>
  <si>
    <t xml:space="preserve">        Деятельность по оказанию услуг в области бухгалтерского учета, по проведению финансового аудита, по налоговому консультированию</t>
  </si>
  <si>
    <t xml:space="preserve">    Деятельность головных офисов; консультирование по вопросам управления</t>
  </si>
  <si>
    <t xml:space="preserve">        Деятельность головных офисов</t>
  </si>
  <si>
    <t xml:space="preserve">        Консультирование по вопросам управления</t>
  </si>
  <si>
    <t xml:space="preserve">    Деятельность в области архитектуры и инженерно-технического проектирования; технических испытаний, исследований и анализа</t>
  </si>
  <si>
    <t xml:space="preserve">        Деятельность в области архитектуры, инженерных изысканий и предоставление технических консультаций в этих областях</t>
  </si>
  <si>
    <t xml:space="preserve">        Технические испытания, исследования, анализ и сертификация</t>
  </si>
  <si>
    <t xml:space="preserve">    Научные исследования и разработки</t>
  </si>
  <si>
    <t xml:space="preserve">        Научные исследования и разработки в области естественных и технических наук</t>
  </si>
  <si>
    <t xml:space="preserve">        Научные исследования и разработки в области общественных и гуманитарных наук</t>
  </si>
  <si>
    <t xml:space="preserve">    Деятельность рекламная и исследование конъюнктуры рынка</t>
  </si>
  <si>
    <t xml:space="preserve">        Деятельность рекламная</t>
  </si>
  <si>
    <t xml:space="preserve">        Исследование конъюнктуры рынка и изучение общественного мнения</t>
  </si>
  <si>
    <t xml:space="preserve">    Деятельность профессиональная научная и техническая прочая</t>
  </si>
  <si>
    <t xml:space="preserve">        Деятельность специализированная в области дизайна</t>
  </si>
  <si>
    <t xml:space="preserve">        Деятельность в области фотографии</t>
  </si>
  <si>
    <t xml:space="preserve">        Деятельность по письменному и устному переводу</t>
  </si>
  <si>
    <t xml:space="preserve">        Деятельность профессиональная, научная и техническая прочая, не включенная в другие группировки</t>
  </si>
  <si>
    <t xml:space="preserve">    Деятельность ветеринарная</t>
  </si>
  <si>
    <t xml:space="preserve">        Деятельность ветеринарная</t>
  </si>
  <si>
    <t>ДЕЯТЕЛЬНОСТЬ АДМИНИСТРАТИВНАЯ И СОПУТСТВУЮЩИЕ ДОПОЛНИТЕЛЬНЫЕ УСЛУГИ</t>
  </si>
  <si>
    <t xml:space="preserve">    Аренда и лизинг</t>
  </si>
  <si>
    <t xml:space="preserve">        Аренда и лизинг автотранспортных средств</t>
  </si>
  <si>
    <t xml:space="preserve">        Прокат и аренда предметов личного пользования и хозяйственно-бытового назначения</t>
  </si>
  <si>
    <t xml:space="preserve">        Аренда и лизинг прочих машин и оборудования и материальных средств</t>
  </si>
  <si>
    <t xml:space="preserve">        Аренда интеллектуальной собственности и подобной продукции, кроме авторских прав</t>
  </si>
  <si>
    <t xml:space="preserve">    Деятельность по трудоустройству и подбору персонала</t>
  </si>
  <si>
    <t xml:space="preserve">        Деятельность агентств по подбору персонала</t>
  </si>
  <si>
    <t xml:space="preserve">        Деятельность агентств по временному трудоустройству</t>
  </si>
  <si>
    <t xml:space="preserve">        Деятельность по подбору персонала прочая</t>
  </si>
  <si>
    <t xml:space="preserve">    Деятельность туристических агентств и прочих организаций, предоставляющих услуги в сфере туризма</t>
  </si>
  <si>
    <t xml:space="preserve">        Деятельность туристических агентств и туроператоров</t>
  </si>
  <si>
    <t xml:space="preserve">        Услуги по бронированию прочие и сопутствующая деятельность</t>
  </si>
  <si>
    <t xml:space="preserve">    Деятельность по обеспечению безопасности и проведению расследований</t>
  </si>
  <si>
    <t xml:space="preserve">        Деятельность охранных служб, в том числе частных</t>
  </si>
  <si>
    <t xml:space="preserve">        Деятельность систем обеспечения безопасности</t>
  </si>
  <si>
    <t xml:space="preserve">        Деятельность по расследованию</t>
  </si>
  <si>
    <t xml:space="preserve">    Деятельность по обслуживанию зданий и территорий</t>
  </si>
  <si>
    <t xml:space="preserve">        Деятельность по комплексному обслуживанию помещений</t>
  </si>
  <si>
    <t xml:space="preserve">        Деятельность по чистке и уборке</t>
  </si>
  <si>
    <t xml:space="preserve">        Предоставление услуг по благоустройству ландшафта</t>
  </si>
  <si>
    <t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t>
  </si>
  <si>
    <t xml:space="preserve">        Деятельность административно-хозяйственная и вспомогательная деятельность по обеспечению функционирования организации</t>
  </si>
  <si>
    <t xml:space="preserve">        Деятельность центров обработки телефонных вызовов</t>
  </si>
  <si>
    <t xml:space="preserve">        Деятельность по организации конференций и выставок</t>
  </si>
  <si>
    <t xml:space="preserve">        Деятельность по предоставлению вспомогательных услуг для бизнеса, не включенная в другие группировки</t>
  </si>
  <si>
    <t>ГОСУДАРСТВЕННОЕ УПРАВЛЕНИЕ И ОБЕСПЕЧЕНИЕ ВОЕННОЙ БЕЗОПАСНОСТИ; СОЦИАЛЬНОЕ ОБЕСПЕЧЕНИЕ</t>
  </si>
  <si>
    <t xml:space="preserve">    Деятельность органов государственного управления по обеспечению военной безопасности, обязательному социальному обеспечению</t>
  </si>
  <si>
    <t xml:space="preserve">        Деятельность органов государственного управления и местного самоуправления по вопросам общего и социально-экономического характера</t>
  </si>
  <si>
    <t xml:space="preserve">        Предоставление государственных услуг обществу</t>
  </si>
  <si>
    <t xml:space="preserve">        Деятельность в области обязательного социального обеспечения</t>
  </si>
  <si>
    <t>ОБРАЗОВАНИЕ</t>
  </si>
  <si>
    <t xml:space="preserve">    Образование</t>
  </si>
  <si>
    <t xml:space="preserve">        Образование общее</t>
  </si>
  <si>
    <t xml:space="preserve">        Образование профессиональное</t>
  </si>
  <si>
    <t xml:space="preserve">        Обучение профессиональное</t>
  </si>
  <si>
    <t xml:space="preserve">        Образование дополнительное</t>
  </si>
  <si>
    <t>ДЕЯТЕЛЬНОСТЬ В ОБЛАСТИ ЗДРАВООХРАНЕНИЯ И СОЦИАЛЬНЫХ УСЛУГ</t>
  </si>
  <si>
    <t xml:space="preserve">    Деятельность в области здравоохранения</t>
  </si>
  <si>
    <t xml:space="preserve">        Деятельность больничных организаций</t>
  </si>
  <si>
    <t xml:space="preserve">        Медицинская и стоматологическая практика</t>
  </si>
  <si>
    <t xml:space="preserve">        Деятельность в области медицины прочая</t>
  </si>
  <si>
    <t xml:space="preserve">    Деятельность по уходу с обеспечением проживания</t>
  </si>
  <si>
    <t xml:space="preserve">        Деятельность по медицинскому уходу с обеспечением проживания</t>
  </si>
  <si>
    <t xml:space="preserve">        Деятельность по оказанию помощи на дому для лиц с ограниченными возможностями развития, душевнобольным и наркозависимым</t>
  </si>
  <si>
    <t xml:space="preserve">        Деятельность по уходу за престарелыми и инвалидами с обеспечением проживания</t>
  </si>
  <si>
    <t xml:space="preserve">        Деятельность по уходу с обеспечением проживания прочая</t>
  </si>
  <si>
    <t xml:space="preserve">    Предоставление социальных услуг без обеспечения проживания</t>
  </si>
  <si>
    <t xml:space="preserve">        Предоставление социальных услуг без обеспечения проживания престарелым и инвалидам</t>
  </si>
  <si>
    <t xml:space="preserve">        Предоставление прочих социальных услуг без обеспечения проживания</t>
  </si>
  <si>
    <t>ДЕЯТЕЛЬНОСТЬ В ОБЛАСТИ КУЛЬТУРЫ, СПОРТА, ОРГАНИЗАЦИИ ДОСУГА И РАЗВЛЕЧЕНИЙ</t>
  </si>
  <si>
    <t xml:space="preserve">    Деятельность творческая, деятельность в области искусства и организации развлечений</t>
  </si>
  <si>
    <t xml:space="preserve">        Деятельность творческая, деятельность в области искусства и организации развлечений</t>
  </si>
  <si>
    <t xml:space="preserve">    Деятельность библиотек, архивов, музеев и прочих объектов культуры</t>
  </si>
  <si>
    <t xml:space="preserve">        Деятельность библиотек, архивов, музеев и прочих объектов культуры</t>
  </si>
  <si>
    <t xml:space="preserve">    Деятельность по организации и проведению азартных игр и заключению пари, по организации и проведению лотерей</t>
  </si>
  <si>
    <t xml:space="preserve">        Деятельность по организации и проведению азартных игр и заключения пари</t>
  </si>
  <si>
    <t xml:space="preserve">        Деятельность по организации и проведению лотерей</t>
  </si>
  <si>
    <t xml:space="preserve">    Деятельность в области спорта, отдыха и развлечений</t>
  </si>
  <si>
    <t xml:space="preserve">        Деятельность в области спорта</t>
  </si>
  <si>
    <t xml:space="preserve">        Деятельность в области отдыха и развлечений</t>
  </si>
  <si>
    <t>ПРЕДОСТАВЛЕНИЕ ПРОЧИХ ВИДОВ УСЛУГ</t>
  </si>
  <si>
    <t xml:space="preserve">    Деятельность общественных и прочих некоммерческих организаций</t>
  </si>
  <si>
    <t xml:space="preserve">        Деятельность предпринимательских и профессиональных членских некоммерческих организаций</t>
  </si>
  <si>
    <t xml:space="preserve">        Деятельность профессиональных союзов</t>
  </si>
  <si>
    <t xml:space="preserve">        Деятельность прочих общественных и некоммерческих организаций</t>
  </si>
  <si>
    <t xml:space="preserve">    Ремонт компьютеров, предметов личного потребления и хозяйственно-бытового назначения</t>
  </si>
  <si>
    <t xml:space="preserve">        Ремонт компьютеров и коммуникационного оборудования</t>
  </si>
  <si>
    <t xml:space="preserve">        Ремонт предметов личного потребления и хозяйственно-бытового назначения</t>
  </si>
  <si>
    <t xml:space="preserve">    Деятельность по предоставлению прочих персональных услуг</t>
  </si>
  <si>
    <t xml:space="preserve">        Деятельность по предоставлению прочих персональных услуг</t>
  </si>
  <si>
    <t>Защита прав потребителей</t>
  </si>
  <si>
    <t>Источник: справочник "Масштаб" калькулятора издержек regulation.gov.ru</t>
  </si>
  <si>
    <t>Государственный и муниципальный заказ</t>
  </si>
  <si>
    <t>Социальное страхование</t>
  </si>
  <si>
    <t>Труд и занятость</t>
  </si>
  <si>
    <t>Сфера внутренних дел, миграции, контроля за оборотом наркотических средств</t>
  </si>
  <si>
    <t>Культура, туризм, авторское право</t>
  </si>
  <si>
    <t>Природные ресурсы</t>
  </si>
  <si>
    <t>Промышленность, оборонная промышленность</t>
  </si>
  <si>
    <t>Градостроительная деятельность и ЖКХ</t>
  </si>
  <si>
    <t>Налоги, финансовая деятельность</t>
  </si>
  <si>
    <t>Лицензирование, аккредитация</t>
  </si>
  <si>
    <t>Антимонопольное регулирование</t>
  </si>
  <si>
    <t>Обязательная маркировка</t>
  </si>
  <si>
    <t>Основные справочники</t>
  </si>
  <si>
    <t>Выгрузка таблицы расчетов издержек в Сводный отчет об ОРВ</t>
  </si>
  <si>
    <t>Шаг 1</t>
  </si>
  <si>
    <t>Шаг 2</t>
  </si>
  <si>
    <t>Шаг 3</t>
  </si>
  <si>
    <t>Шаг 4</t>
  </si>
  <si>
    <t>Шаг 5</t>
  </si>
  <si>
    <t>Отдельные вспомогательные таблицы для дополнительных расчетов</t>
  </si>
  <si>
    <t xml:space="preserve">Расчет альтернативных издержек </t>
  </si>
  <si>
    <t xml:space="preserve">Расчет содержательных издержек </t>
  </si>
  <si>
    <t xml:space="preserve">Расчет информационных издержек </t>
  </si>
  <si>
    <t>Основные исходные данные</t>
  </si>
  <si>
    <t>С0</t>
  </si>
  <si>
    <t>Стандартные затраты рабочего времени на выполнение типовых операций (действий)</t>
  </si>
  <si>
    <t xml:space="preserve">Стандартная стоимость часа работы персонала в разрезе видов деятельности </t>
  </si>
  <si>
    <t>Нормативный срок службы отдельных видов оборудования</t>
  </si>
  <si>
    <t>Средние цены отдельных видов оборудования, применяемые для оценки исполнения обязательных требований</t>
  </si>
  <si>
    <t>Стандартные значения частоты обслуживания отдельных видов оборудования</t>
  </si>
  <si>
    <t>Средние цены на отдельные работ (услуг), применяемые для оценки исполнения обязательных требований</t>
  </si>
  <si>
    <t>Количественный состав отдельных групп объектов расчета, применяемый для оценки исполнения обязательных требований</t>
  </si>
  <si>
    <t>Издержки соблюдения отдельных требований Роспотребнадзора</t>
  </si>
  <si>
    <t>Плакат "Противопожарный инструктаж"</t>
  </si>
  <si>
    <t>Журнал учёта инструктажей по пожарной безопасности</t>
  </si>
  <si>
    <t>4. Проведение противопожарных инструктажей</t>
  </si>
  <si>
    <t>Технический регламент о требованиях пожарной безопасности</t>
  </si>
  <si>
    <t>Наглядные и учебные пособия по пожарной безопасности</t>
  </si>
  <si>
    <t>3. Поставка пособий и материалов</t>
  </si>
  <si>
    <t>Буклет-памятка «Противопожарный инструктаж»</t>
  </si>
  <si>
    <t>2. Поиск поставщика пособий и материалов</t>
  </si>
  <si>
    <t>1 субъект</t>
  </si>
  <si>
    <t>1. Обучение сотрудника</t>
  </si>
  <si>
    <t>Проведение противопожарных инструктажей (вводный, первичный, повторный)</t>
  </si>
  <si>
    <t>Знак Направляющая стрелка</t>
  </si>
  <si>
    <t>Знак Направляющая стрелка под углом 45°</t>
  </si>
  <si>
    <t>Знак Пожарный кран</t>
  </si>
  <si>
    <t>Знак Пожарная лестница</t>
  </si>
  <si>
    <t>Знак Огнетушитель</t>
  </si>
  <si>
    <t>Знак Телефон для использования при пожаре</t>
  </si>
  <si>
    <t>Знак Место размещения нескольких средств противопожарной защиты</t>
  </si>
  <si>
    <t>Знак Пожарный водоисточник</t>
  </si>
  <si>
    <t>Знак Пожарный сухотрубный стояк</t>
  </si>
  <si>
    <t>4. Распределение знаков по местам</t>
  </si>
  <si>
    <t>Знак Пожарный гидрант</t>
  </si>
  <si>
    <t>3. Поставка знаков</t>
  </si>
  <si>
    <t>Знак Кнопка включения установок (систем) пожарной автоматики</t>
  </si>
  <si>
    <t>2. Поиск поставщика знаков</t>
  </si>
  <si>
    <t>Знак Звуковой оповещатель пожарной тревоги</t>
  </si>
  <si>
    <t>Знаки пожарной безопасности</t>
  </si>
  <si>
    <t>1. Определение типа и количества знаков</t>
  </si>
  <si>
    <t>2. Размещение информации</t>
  </si>
  <si>
    <t>1. Составление и оформление информационной таблички</t>
  </si>
  <si>
    <t>2. Размещение инструкции</t>
  </si>
  <si>
    <t>1. Составление инструкции</t>
  </si>
  <si>
    <t>1. Составление перечня помещений, защищаемых установками противопожарной защиты, с указанием линии связи пожарной сигнализации</t>
  </si>
  <si>
    <t>Размещение пожарной информации</t>
  </si>
  <si>
    <t>Система двусторонней связи зон оповещения с пожарным постом-диспетчерской</t>
  </si>
  <si>
    <t>4. Подключение и настройка средств связи</t>
  </si>
  <si>
    <t>3. Поставка средств связи</t>
  </si>
  <si>
    <t>2. Поиск поставщика средств связи</t>
  </si>
  <si>
    <t>СОУЭ</t>
  </si>
  <si>
    <t>1. Определение типа средств связи</t>
  </si>
  <si>
    <t>Средства связи с помещением пожарного поста в безопасных зонах для маломобильных групп населения.</t>
  </si>
  <si>
    <t>4. Распределение средств защиты по местам</t>
  </si>
  <si>
    <t>3. Поставка средств защиты</t>
  </si>
  <si>
    <t>Контейнер для хранения самоспасателей</t>
  </si>
  <si>
    <t>2. Поиск поставщика средств защиты</t>
  </si>
  <si>
    <t>Средства индивидуальной защиты органов дыхания фильтрующего типа</t>
  </si>
  <si>
    <t>1. Определение типа и количества средств защиты</t>
  </si>
  <si>
    <t>Средства индивидуальной защиты в безопасных зонах для маломобильных групп населения.</t>
  </si>
  <si>
    <t>3. Поставка фонарей</t>
  </si>
  <si>
    <t>2. Поиск поставщика</t>
  </si>
  <si>
    <t>Фонари пожарные ФПС</t>
  </si>
  <si>
    <t>Комплектация пожарного поста</t>
  </si>
  <si>
    <t>1. Определение типа фонаря</t>
  </si>
  <si>
    <t>Обеспечение спецсредствами (фонарь пожарный)</t>
  </si>
  <si>
    <t>Песок</t>
  </si>
  <si>
    <t>Ящик для песка 0,5 куб. метра</t>
  </si>
  <si>
    <t>Лопата совковая</t>
  </si>
  <si>
    <t>Покрывало для изоляции очага возгорания</t>
  </si>
  <si>
    <t>Комплект для резки электропроводов: ножницы, диэлектрические боты и коврик</t>
  </si>
  <si>
    <t>Крюк с деревянной рукояткой</t>
  </si>
  <si>
    <t>Комплектация пожарного щита ЩП-Е</t>
  </si>
  <si>
    <t>Лопата штыковая</t>
  </si>
  <si>
    <t xml:space="preserve">Ведро </t>
  </si>
  <si>
    <t xml:space="preserve">Лом </t>
  </si>
  <si>
    <t>Комплектация пожарного щита ЩП-В</t>
  </si>
  <si>
    <t>Емкость для хранения воды объемом 0,2 куб. метра</t>
  </si>
  <si>
    <t>Ведро (2 шт)</t>
  </si>
  <si>
    <t>3. Закупка и установка оборудования</t>
  </si>
  <si>
    <t>Багор</t>
  </si>
  <si>
    <t>1 щит пожарный</t>
  </si>
  <si>
    <t>1. Определение типа и количества инструмента и инвентаря</t>
  </si>
  <si>
    <t>Комплектация пожарных щитов пожарным инструментом и инвентарем</t>
  </si>
  <si>
    <t>Установка огнетушителей по месту</t>
  </si>
  <si>
    <t>Приемка и оплата приобретения</t>
  </si>
  <si>
    <t>Приобретение огнетушителей</t>
  </si>
  <si>
    <t xml:space="preserve">ОП-4 (предприятия с УАП - 15%) </t>
  </si>
  <si>
    <t>Поиск поставщика</t>
  </si>
  <si>
    <t>ОП-4 (предприятия без УАП - 85%)</t>
  </si>
  <si>
    <t>огнетушители</t>
  </si>
  <si>
    <t>Определение типа и кол-ва огнетушителей</t>
  </si>
  <si>
    <t>Обеспечение предприятий общепита огнетушителями</t>
  </si>
  <si>
    <t>Обеспечение предприятий общепита средствами пожаротушения</t>
  </si>
  <si>
    <t>Выполнение требований по пожарной безопасности</t>
  </si>
  <si>
    <t>Организация приобретения работ, услуг</t>
  </si>
  <si>
    <t xml:space="preserve">Организация приобретения товаров </t>
  </si>
  <si>
    <t xml:space="preserve">Организация приобретения товаров,  работ, услуг для выполнения обязательных требований </t>
  </si>
  <si>
    <t>Операции приобретения (шаблон)</t>
  </si>
  <si>
    <t>828800 - численность работников общепита в 2021г.</t>
  </si>
  <si>
    <t>1 сотрудник</t>
  </si>
  <si>
    <t>190199- численность субъектов</t>
  </si>
  <si>
    <t>2. Заключение договора на оказание услуги (90%)</t>
  </si>
  <si>
    <t>Цена ежедн.осмотра 1 сотр.=0,15. Средн.число сотр. На 1 ОР= 828800/190199=4,36  4,36*0,15=0,654 - цена осмотра за 1 день на 1 ОР</t>
  </si>
  <si>
    <t>Проведение ежедневного медосмотра</t>
  </si>
  <si>
    <t>1. Поиск поставщика услуги без тендерной процедуры</t>
  </si>
  <si>
    <t>2. Найм штатного сотрудника (5%)</t>
  </si>
  <si>
    <t>Медработн. Принят на 0,5 ставки</t>
  </si>
  <si>
    <t>1. Открытие вакансии (Подача заявки в ЦЗН)</t>
  </si>
  <si>
    <t>Росстат</t>
  </si>
  <si>
    <t>1ч-ч: 43593р.*12мес/1973час</t>
  </si>
  <si>
    <t>Курс 36 часов</t>
  </si>
  <si>
    <t>1. Обучение сотрудника (5%)</t>
  </si>
  <si>
    <t xml:space="preserve">Организация проведения медосмотра </t>
  </si>
  <si>
    <t>Санитарные мероприятия</t>
  </si>
  <si>
    <t>Проведение инструктажей</t>
  </si>
  <si>
    <t>Действия с персоналом</t>
  </si>
  <si>
    <t>0,166</t>
  </si>
  <si>
    <t>3. Разработка плана</t>
  </si>
  <si>
    <t>2. Адаптация положений нормы к реальным условиям</t>
  </si>
  <si>
    <t>1. Изучение нормативных документов</t>
  </si>
  <si>
    <r>
      <rPr>
        <b/>
        <sz val="11"/>
        <color theme="1"/>
        <rFont val="Calibri"/>
        <family val="2"/>
        <charset val="204"/>
        <scheme val="minor"/>
      </rPr>
      <t>Разработка плана действий</t>
    </r>
    <r>
      <rPr>
        <sz val="11"/>
        <color theme="1"/>
        <rFont val="Calibri"/>
        <family val="2"/>
        <charset val="204"/>
        <scheme val="minor"/>
      </rPr>
      <t xml:space="preserve"> (для территории с застройкой)</t>
    </r>
  </si>
  <si>
    <r>
      <rPr>
        <b/>
        <sz val="11"/>
        <color theme="1"/>
        <rFont val="Calibri"/>
        <family val="2"/>
        <charset val="204"/>
        <scheme val="minor"/>
      </rPr>
      <t>Разработка планов действий</t>
    </r>
    <r>
      <rPr>
        <sz val="11"/>
        <color theme="1"/>
        <rFont val="Calibri"/>
        <family val="2"/>
        <charset val="204"/>
        <scheme val="minor"/>
      </rPr>
      <t xml:space="preserve"> (для здания)</t>
    </r>
  </si>
  <si>
    <t>1. Изучение нормативных документов.</t>
  </si>
  <si>
    <r>
      <rPr>
        <b/>
        <sz val="11"/>
        <color theme="1"/>
        <rFont val="Calibri"/>
        <family val="2"/>
        <charset val="204"/>
        <scheme val="minor"/>
      </rPr>
      <t>Разработка планов</t>
    </r>
    <r>
      <rPr>
        <sz val="11"/>
        <color theme="1"/>
        <rFont val="Calibri"/>
        <family val="2"/>
        <charset val="204"/>
        <scheme val="minor"/>
      </rPr>
      <t xml:space="preserve"> действий(для помещения)</t>
    </r>
  </si>
  <si>
    <t>Разработка планов действий в месте размещения субъекта</t>
  </si>
  <si>
    <t>3. Разработка инструкции</t>
  </si>
  <si>
    <t>1. Изучение нормативных документов (более 11 листов)</t>
  </si>
  <si>
    <r>
      <rPr>
        <b/>
        <sz val="11"/>
        <color theme="1"/>
        <rFont val="Calibri"/>
        <family val="2"/>
        <charset val="204"/>
        <scheme val="minor"/>
      </rPr>
      <t>Разработка инструкции</t>
    </r>
    <r>
      <rPr>
        <sz val="11"/>
        <color theme="1"/>
        <rFont val="Calibri"/>
        <family val="2"/>
        <charset val="204"/>
        <scheme val="minor"/>
      </rPr>
      <t xml:space="preserve"> (сложная норма)</t>
    </r>
  </si>
  <si>
    <t>1. Изучение нормативных документов (6-10 листов)</t>
  </si>
  <si>
    <r>
      <rPr>
        <b/>
        <sz val="11"/>
        <color theme="1"/>
        <rFont val="Calibri"/>
        <family val="2"/>
        <charset val="204"/>
        <scheme val="minor"/>
      </rPr>
      <t>Разработка инструкции</t>
    </r>
    <r>
      <rPr>
        <sz val="11"/>
        <color theme="1"/>
        <rFont val="Calibri"/>
        <family val="2"/>
        <charset val="204"/>
        <scheme val="minor"/>
      </rPr>
      <t xml:space="preserve"> (норма средней сложности)</t>
    </r>
  </si>
  <si>
    <t>1. Изучение нормативных документов (3-5 листов)</t>
  </si>
  <si>
    <r>
      <rPr>
        <b/>
        <sz val="11"/>
        <color theme="1"/>
        <rFont val="Calibri"/>
        <family val="2"/>
        <charset val="204"/>
        <scheme val="minor"/>
      </rPr>
      <t>Разработка инструкции</t>
    </r>
    <r>
      <rPr>
        <sz val="11"/>
        <color theme="1"/>
        <rFont val="Calibri"/>
        <family val="2"/>
        <charset val="204"/>
        <scheme val="minor"/>
      </rPr>
      <t xml:space="preserve"> (простая норма)</t>
    </r>
  </si>
  <si>
    <t>Разработка инструкций</t>
  </si>
  <si>
    <t>3. Разработка программы</t>
  </si>
  <si>
    <r>
      <rPr>
        <b/>
        <sz val="11"/>
        <color theme="1"/>
        <rFont val="Calibri"/>
        <family val="2"/>
        <charset val="204"/>
        <scheme val="minor"/>
      </rPr>
      <t>Разработка программы</t>
    </r>
    <r>
      <rPr>
        <sz val="11"/>
        <color theme="1"/>
        <rFont val="Calibri"/>
        <family val="2"/>
        <charset val="204"/>
        <scheme val="minor"/>
      </rPr>
      <t xml:space="preserve"> (сложная норма)</t>
    </r>
  </si>
  <si>
    <r>
      <rPr>
        <b/>
        <sz val="11"/>
        <color theme="1"/>
        <rFont val="Calibri"/>
        <family val="2"/>
        <charset val="204"/>
        <scheme val="minor"/>
      </rPr>
      <t>Разработка программы</t>
    </r>
    <r>
      <rPr>
        <sz val="11"/>
        <color theme="1"/>
        <rFont val="Calibri"/>
        <family val="2"/>
        <charset val="204"/>
        <scheme val="minor"/>
      </rPr>
      <t xml:space="preserve"> (норма средней сложности)</t>
    </r>
  </si>
  <si>
    <r>
      <rPr>
        <b/>
        <sz val="11"/>
        <color theme="1"/>
        <rFont val="Calibri"/>
        <family val="2"/>
        <charset val="204"/>
        <scheme val="minor"/>
      </rPr>
      <t>Разработка программы</t>
    </r>
    <r>
      <rPr>
        <sz val="11"/>
        <color theme="1"/>
        <rFont val="Calibri"/>
        <family val="2"/>
        <charset val="204"/>
        <scheme val="minor"/>
      </rPr>
      <t xml:space="preserve"> (простая норма)</t>
    </r>
  </si>
  <si>
    <t>Разработка внутренних регламентов</t>
  </si>
  <si>
    <t>Организация и сопровождение проверок контрольно-надзорными органами</t>
  </si>
  <si>
    <t>Организация подтверждения соответствия параметров деятельности СПД</t>
  </si>
  <si>
    <t>Организация подтверждения соответствия работ, услуг</t>
  </si>
  <si>
    <t>Организация подтверждения соответствия продукции</t>
  </si>
  <si>
    <t>Получение налогового вычета</t>
  </si>
  <si>
    <t>Получение субсидии</t>
  </si>
  <si>
    <t>Получение специального разрешения</t>
  </si>
  <si>
    <t>Получение лицензии</t>
  </si>
  <si>
    <t>Получение разрешений, мер поддержки</t>
  </si>
  <si>
    <t>Лицензии, подтверждение соответствия, проверки</t>
  </si>
  <si>
    <t>Размещение информации на продукции (маркировка продукции)</t>
  </si>
  <si>
    <t>3.Печать информации (типография)</t>
  </si>
  <si>
    <t>Печать меню</t>
  </si>
  <si>
    <t>2. Верстка меню</t>
  </si>
  <si>
    <t>Печать информ.</t>
  </si>
  <si>
    <t>2. Подготовка обновления информации к размещению</t>
  </si>
  <si>
    <t>Вёрстка меню</t>
  </si>
  <si>
    <t>1.Подготовка информации к размещению</t>
  </si>
  <si>
    <t>Размещение информации на объектах предприятия (общепит - рестораны, кафе, бары)</t>
  </si>
  <si>
    <t>4. Печать информации (принтер)</t>
  </si>
  <si>
    <t>3.Верстка меню (10%)</t>
  </si>
  <si>
    <t>Верстка меню (10% ОР)</t>
  </si>
  <si>
    <t>Стойка для меню</t>
  </si>
  <si>
    <t>1. Подготовка информации к размещению</t>
  </si>
  <si>
    <t>Размещение информации на объектах предприятия (общепит - столовые, закусочные)</t>
  </si>
  <si>
    <t>Для всех предприятий, включенных в оценку</t>
  </si>
  <si>
    <t xml:space="preserve">Размещение информации на объектах предприятия общепита </t>
  </si>
  <si>
    <t>Размещение информации в электронных сетях и СМИ</t>
  </si>
  <si>
    <t>Размещение информации</t>
  </si>
  <si>
    <t>2. Внесение информации в журнал</t>
  </si>
  <si>
    <t>1. Получение и систематизация информации</t>
  </si>
  <si>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</si>
  <si>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</si>
  <si>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</si>
  <si>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</si>
  <si>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</si>
  <si>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</si>
  <si>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</si>
  <si>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</si>
  <si>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</si>
  <si>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</si>
  <si>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</si>
  <si>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</si>
  <si>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</si>
  <si>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</si>
  <si>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(1-10 полей)</t>
    </r>
  </si>
  <si>
    <t>2. Организация почтового отправления отчёта</t>
  </si>
  <si>
    <t>1.3.Подготовка  отчета  (с количеством вручную заполняемых полей: 21-40)</t>
  </si>
  <si>
    <t>1.2.Подготовка отчёта (с количеством вручную заполняемых полей: 11-20)</t>
  </si>
  <si>
    <t>1.1. Подготовка отчёта (с количеством вручную заполняемых полей: 1-10)</t>
  </si>
  <si>
    <t>Подготовка и направление отчета органу власти или уполномоченной организации почтовым отправлением</t>
  </si>
  <si>
    <t xml:space="preserve">2.Предоставление отчета личным посещением офиса органа власти или уполномоченно организации </t>
  </si>
  <si>
    <t>Подготовка и предоставление отчета личным посещением офиса органа власти или уполномоченной организации</t>
  </si>
  <si>
    <t>1. Установка доступа к ГИС или специализированного ПО силами собственных специалистов (1-3 рабочих места)</t>
  </si>
  <si>
    <t>Установка доступа к ГИС или специализированного ПО</t>
  </si>
  <si>
    <t>2. Приобретение электронной цифровой подписи (1-3 рабочих места)</t>
  </si>
  <si>
    <t>Установка ЭП</t>
  </si>
  <si>
    <t>Устройства запоминающие внешние</t>
  </si>
  <si>
    <t>USB-токен, ПО Криптопровайдер</t>
  </si>
  <si>
    <t>1. Поиск поставщика без тендерной процедуры</t>
  </si>
  <si>
    <t>Действия с информацией</t>
  </si>
  <si>
    <t>Периодичность в год</t>
  </si>
  <si>
    <t>Цена, тыс. руб.</t>
  </si>
  <si>
    <t>Вид услуги</t>
  </si>
  <si>
    <t>Обслуживание, чел-часов</t>
  </si>
  <si>
    <t>Частотность, Срок службы, лет</t>
  </si>
  <si>
    <t>Кол-во на 1 объект расчета</t>
  </si>
  <si>
    <t>Цена за единицу, тыс.руб.</t>
  </si>
  <si>
    <t>Наименование оборудования</t>
  </si>
  <si>
    <t>Кол-во объектов расчета, использованное для приведенной в справочнике оценки, ед.</t>
  </si>
  <si>
    <t>Удельная издержка требования на 1 объект расчета, т.р.</t>
  </si>
  <si>
    <t>Издержка требования, т.р.</t>
  </si>
  <si>
    <t>Объект расчёта</t>
  </si>
  <si>
    <t>Состав оборудования</t>
  </si>
  <si>
    <t>Состав действий</t>
  </si>
  <si>
    <t>Комментарий</t>
  </si>
  <si>
    <t>Средняя стоимость 1 чел.-часа, тыс. руб.</t>
  </si>
  <si>
    <t>Удельные затраты приобретения на 1 объект расчета, тыс. руб.</t>
  </si>
  <si>
    <t>Удельные затраты рабочего времени на 1 объект расчета, чел-часов</t>
  </si>
  <si>
    <t>Приобретения услуг</t>
  </si>
  <si>
    <t>Приобретения оборудования</t>
  </si>
  <si>
    <t>Частотность</t>
  </si>
  <si>
    <t>Затраты рабочего времени, чел-часов</t>
  </si>
  <si>
    <t>Дополнительная информация</t>
  </si>
  <si>
    <t>Справочные величины</t>
  </si>
  <si>
    <t>Сведения для сопоставления типового требования и оцениваемого требования</t>
  </si>
  <si>
    <t>Типовое требование</t>
  </si>
  <si>
    <t>Подгруппа требований</t>
  </si>
  <si>
    <t>Группа требований</t>
  </si>
  <si>
    <t>Справочник типовых оценок</t>
  </si>
  <si>
    <t>Типовые оценки (аналогичные требования)</t>
  </si>
  <si>
    <t>Средняя в час с социальными отчислениями</t>
  </si>
  <si>
    <t>средняя</t>
  </si>
  <si>
    <t>Среднемесячная номинальная начисленная заработная плата, рублей</t>
  </si>
  <si>
    <t>Подготовка меню объектов общественного питания типа "ресторан" (без верстки)</t>
  </si>
  <si>
    <t>Стенд уголок потребителя на 4 кармана</t>
  </si>
  <si>
    <t>Верстка и подготовка к печати меню для предприятия типа "ресторан"</t>
  </si>
  <si>
    <t>Противопожарная безопасность</t>
  </si>
  <si>
    <t>Перезарядка огнетушителя ОП-2</t>
  </si>
  <si>
    <t>Перезарядка огнетушителя ОП-4</t>
  </si>
  <si>
    <t>Организация проведения осмотра персонала (для предприятий общепита)</t>
  </si>
  <si>
    <t>2. Проведение осмотра персонала</t>
  </si>
  <si>
    <t>3. Проведение осмотра персонала</t>
  </si>
  <si>
    <t>1.Организация проведения ежедневного осмотра персонала (вариант с обучением сотрудника, на которого возлагается проведение медосмотра)</t>
  </si>
  <si>
    <t>2.Организация проведения ежедневного осмотра персонала (вариант с принятием в штат медработника)</t>
  </si>
  <si>
    <t>3.Организация проведения ежедневного осмотра персонала (вариант с заключением договора с медучреждением)</t>
  </si>
  <si>
    <t>Сфера деятельности (ОКВЭД): код</t>
  </si>
  <si>
    <t>Сфера деятельности (ОКВЭД): наименование</t>
  </si>
  <si>
    <t>Структурная единица</t>
  </si>
  <si>
    <t>Пояснения к расчетам</t>
  </si>
  <si>
    <t>Сумма на горизонте планирования, руб.</t>
  </si>
  <si>
    <t>Временные издержки в расчете на все объекты за весь период, руб.</t>
  </si>
  <si>
    <t>Тип приобретения</t>
  </si>
  <si>
    <t>Услуга</t>
  </si>
  <si>
    <t>Платеж</t>
  </si>
  <si>
    <t>Частота приобретений</t>
  </si>
  <si>
    <t>Единожды</t>
  </si>
  <si>
    <t>Периодически</t>
  </si>
  <si>
    <t>Частота приобретений за период оценивания, раз</t>
  </si>
  <si>
    <t>Срок службы оборудования, лет</t>
  </si>
  <si>
    <t>Услуга (платеж) приобретается (осуществляется) единожды или периодически</t>
  </si>
  <si>
    <t>Средняя стоимость одного приобретения, руб.</t>
  </si>
  <si>
    <t>Издержки, связанные с приобретениями, в расчете на все объекты за весь период, руб.</t>
  </si>
  <si>
    <t>Сумма в расчете на все объекты, руб.</t>
  </si>
  <si>
    <t>Единица измерения</t>
  </si>
  <si>
    <t>Общая сумма издержек простоя</t>
  </si>
  <si>
    <t>Шаг 4. Расчет издержек простоя и недополученной прибыли</t>
  </si>
  <si>
    <t>Издержки (затраты) простоя – эксплуатационные издержки, затраты на оплату труда сотрудников, производственные и иные издержки, возникающие у субъекта предпринимательской и иной экономической деятельности в период вынужденного прекращения экономически обоснованной деятельности либо осуществления непроизводительных действий в связи с необходимостью соблюдения регуляторных требований.
Недополученная прибыль – прибыль, упущенная субъектом предпринимательской и иной экономической деятельности, в период вынужденного прекращения экономически обоснованной деятельности (либо вынужденного осуществления непроизводительных действий - деятельности, не приносящей прибыль) в связи с необходимостью соблюдения регуляторных требований.</t>
  </si>
  <si>
    <t>Наличие издержек (да/нет)</t>
  </si>
  <si>
    <t>Расчет издержек простоя и недополученной прибыли</t>
  </si>
  <si>
    <t>Издержки простоя и недополученная прибыль</t>
  </si>
  <si>
    <t>Эксперт заполняет белые поля, серые поля заполняются программой автоматически</t>
  </si>
  <si>
    <t>Издержки по типам</t>
  </si>
  <si>
    <t>минута</t>
  </si>
  <si>
    <t>3.1. Параметры объектов оценки</t>
  </si>
  <si>
    <t>№ пункта проекта акта, которым определено требование (обязанность или ограничение) и его содержание</t>
  </si>
  <si>
    <t>Количество субъектов регулирования, на которые распространяется ОТ(обязанность или ограничение), ед.</t>
  </si>
  <si>
    <t>Издержки простоя и недополученная прибыль (при наличии), руб.</t>
  </si>
  <si>
    <t>Альтернативные издержки, руб.</t>
  </si>
  <si>
    <t xml:space="preserve">Сумма затрат </t>
  </si>
  <si>
    <t>Использование при оценке справочника типовых оценок</t>
  </si>
  <si>
    <t>Использование при оценке калькулятора оценки исполнения обязательных требований</t>
  </si>
  <si>
    <t>Временные, руб.</t>
  </si>
  <si>
    <t>На приобретения, руб.</t>
  </si>
  <si>
    <t>В первый год введения регулирования, руб.</t>
  </si>
  <si>
    <t>Факт</t>
  </si>
  <si>
    <t>(Да / Нет)</t>
  </si>
  <si>
    <t>Если «Да», то требования из справочника типовых оценок</t>
  </si>
  <si>
    <t>Если «Да», то наименования файлов приложения</t>
  </si>
  <si>
    <t>(1)</t>
  </si>
  <si>
    <t>(2)</t>
  </si>
  <si>
    <t>(3)</t>
  </si>
  <si>
    <t>(4)</t>
  </si>
  <si>
    <t>(5)</t>
  </si>
  <si>
    <t>(6)</t>
  </si>
  <si>
    <t>(7)</t>
  </si>
  <si>
    <t>(8)</t>
  </si>
  <si>
    <t>(9)</t>
  </si>
  <si>
    <t>(10)</t>
  </si>
  <si>
    <t>(11)</t>
  </si>
  <si>
    <t>(12)</t>
  </si>
  <si>
    <t>(13)</t>
  </si>
  <si>
    <t>(14)</t>
  </si>
  <si>
    <t>(15)</t>
  </si>
  <si>
    <t>На 6 лет с предполагаемой даты вступления в силу устанавливаемого ОТ, руб.</t>
  </si>
  <si>
    <t>Год 2</t>
  </si>
  <si>
    <t>Год 3</t>
  </si>
  <si>
    <t>Год 4</t>
  </si>
  <si>
    <t>Год 5</t>
  </si>
  <si>
    <t>Год 6</t>
  </si>
  <si>
    <t xml:space="preserve">Трехлетний прогноз социально-экономического развития Российской Федерации, разработанный Минэкономразвития России </t>
  </si>
  <si>
    <t>задан Методикой (значение, равное значению показателя в третьем году прогноза)</t>
  </si>
  <si>
    <t>Прогнозируемый прирост потребительских цен</t>
  </si>
  <si>
    <t>1 год</t>
  </si>
  <si>
    <t>Затраты рабочего времени на выполнение действия, человеко-часов</t>
  </si>
  <si>
    <t>2 год</t>
  </si>
  <si>
    <t>3 год</t>
  </si>
  <si>
    <t>4 год</t>
  </si>
  <si>
    <t>5 год</t>
  </si>
  <si>
    <t>6 год</t>
  </si>
  <si>
    <t>Индексация</t>
  </si>
  <si>
    <t>ИПЦ</t>
  </si>
  <si>
    <t>З/П</t>
  </si>
  <si>
    <t>Частота выполнения действия в год, раз</t>
  </si>
  <si>
    <t>Частота осуществления приобретений в год, раз</t>
  </si>
  <si>
    <t>Информационные издержки (затраты) – издержки, которые связаны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 в соответствии с требованиями, в том числе издержки на поддержание готовности представить необходимую информацию по запросу со стороны органов государственной власти, их уполномоченных представителей или третьих лиц.</t>
  </si>
  <si>
    <t>Временные</t>
  </si>
  <si>
    <t>Содержательные издержки - издержки, которые связаны с поддержанием установленного требованием уровня безопасности и качества продукции, процессов производства, проведения работ и оказания услуг, эксплуатации оборудования и производственных объектов, безопасности трудовой деятельности персонала, а также иные необходимые для исполнения требования затраты, не связанные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t>
  </si>
  <si>
    <t>Сумма издержек простоя, руб.</t>
  </si>
  <si>
    <t>Сумма недополученной прибыли, руб.</t>
  </si>
  <si>
    <t>Оценка количества занятых работников на одном объекте расчета, чел.</t>
  </si>
  <si>
    <t>Длительность однократного простоя, часов</t>
  </si>
  <si>
    <t>Частота возникновения случая простоя объекта расчета на горизонте оценивания, раз в год</t>
  </si>
  <si>
    <t>Совокупные издержки простоя, руб.</t>
  </si>
  <si>
    <t>Затраты на оплату труда, руб. в час</t>
  </si>
  <si>
    <t>Затраты на оплату труда (временные издержки простоя)</t>
  </si>
  <si>
    <t>Эксплуатационные или производственные затраты (затраты простоя, связанные с приобретениями)</t>
  </si>
  <si>
    <t>Эксплуатационные, производственные затраты, руб. в час</t>
  </si>
  <si>
    <t>Оплата труда = Длительность простоя х индексация з/п х затраты на з/п в час</t>
  </si>
  <si>
    <t>Экспл затраты = длительность простоях ИПЦ х средний обем затрат в час</t>
  </si>
  <si>
    <t>Недополученная прибыль = объем выпуска в день х длительность простоя х рентабельность</t>
  </si>
  <si>
    <t>Оценка объема выпуска продукции, руб. в час</t>
  </si>
  <si>
    <t>Общая сумма недополученной прибыли</t>
  </si>
  <si>
    <t>Длительность простоев</t>
  </si>
  <si>
    <t>Группа</t>
  </si>
  <si>
    <t>Длительность, часов</t>
  </si>
  <si>
    <t>год 1</t>
  </si>
  <si>
    <t>год 2</t>
  </si>
  <si>
    <t>год 3</t>
  </si>
  <si>
    <t>год 4</t>
  </si>
  <si>
    <t>год 5</t>
  </si>
  <si>
    <t>год 6</t>
  </si>
  <si>
    <t>кол-во объектов</t>
  </si>
  <si>
    <t>Общий фонд рабочего времени в году, часов</t>
  </si>
  <si>
    <t>Доля простоев</t>
  </si>
  <si>
    <t>По всем объектам</t>
  </si>
  <si>
    <t>Сумма затрат</t>
  </si>
  <si>
    <t>Если "Да", то требования из справочника типовых оценок</t>
  </si>
  <si>
    <t>Если "Да", то наименования файлов приложения</t>
  </si>
  <si>
    <t>Итого:</t>
  </si>
  <si>
    <t>Факт
(Да/ Нет)</t>
  </si>
  <si>
    <t>Количество единиц товара, работ или услуг одного вида в одном приобретении, ед.</t>
  </si>
  <si>
    <t>Товар</t>
  </si>
  <si>
    <t>Недополученная прибыль, руб.</t>
  </si>
  <si>
    <t>руб. в час</t>
  </si>
  <si>
    <t>руб. в месяц</t>
  </si>
  <si>
    <t>Использование при оценке калькулятора оценки исполнения требований регулирования</t>
  </si>
  <si>
    <t>На 6 лет с предполагаемой даты вступления в силу устанавливаемого требования регулирования, руб.</t>
  </si>
  <si>
    <t>Формулировка требования регулирования</t>
  </si>
  <si>
    <t>Сводные результаты оценки издержек исполнения требований регулирования</t>
  </si>
  <si>
    <t>Номер требования</t>
  </si>
  <si>
    <t>Калькулятор оценки издержек исполнения требований регулирования</t>
  </si>
  <si>
    <t>Прогнозируемый прирост номинальной заработной платы работников организаций в Российской Федерации</t>
  </si>
  <si>
    <t>Среднемесячная начисленная заработная плата</t>
  </si>
  <si>
    <t>Стоимость часа работы персонала</t>
  </si>
  <si>
    <t>2.1</t>
  </si>
  <si>
    <t>2.2</t>
  </si>
  <si>
    <t>Оплата труда:</t>
  </si>
  <si>
    <t>Необходимо заполнить одну из двух строк: 2.1 или 2.2</t>
  </si>
  <si>
    <t>Сводные результаты оценки издержек исполнения требований регулирования*</t>
  </si>
  <si>
    <t>* заполняется при прохождении ОПОТ или ОФВ</t>
  </si>
  <si>
    <t>№ п/п</t>
  </si>
  <si>
    <t>№ пункта проекта акта, которым определено требование регулирования и его содержание</t>
  </si>
  <si>
    <t>Гиперссылка на карточку требования в реестре обязательных требований (https://ot.gov.ru/)</t>
  </si>
  <si>
    <r>
      <rPr>
        <i/>
        <sz val="12"/>
        <color theme="0" tint="-0.499984740745262"/>
        <rFont val="Calibri"/>
        <family val="2"/>
        <charset val="204"/>
        <scheme val="minor"/>
      </rPr>
      <t>Необходимо указать источник</t>
    </r>
    <r>
      <rPr>
        <sz val="12"/>
        <color theme="1"/>
        <rFont val="Calibri"/>
        <family val="2"/>
        <charset val="204"/>
        <scheme val="minor"/>
      </rPr>
      <t xml:space="preserve">
Примечание: в случае заполнения пункта 2.1 расчет осуществляется автоматически по формуле: &lt;Стоимость часа работы персонала&gt; x 8 x &lt;Количество рабочих дней в году&gt; / 12</t>
    </r>
  </si>
  <si>
    <t>Приложение № 4 к приказу ФНС России от 30.05.2007 № ММ-3-06/333@ "Об утверждении Концепции системы планирования выездных налоговых проверок"</t>
  </si>
  <si>
    <t>Количество субъектов регулирования, на которые распространяется требование регулирования, ед.</t>
  </si>
  <si>
    <t>задан Методикой издержек</t>
  </si>
  <si>
    <r>
      <t xml:space="preserve">задан пунктом 39 Методики издержек
</t>
    </r>
    <r>
      <rPr>
        <sz val="12"/>
        <color theme="0" tint="-0.499984740745262"/>
        <rFont val="Calibri"/>
        <family val="2"/>
        <charset val="204"/>
        <scheme val="minor"/>
      </rPr>
      <t>Для компаний, осуществляющих деятельность в области информационных технологий (класс 63 «Деятельность в области информационных технологий» ОКВЭД ), коэффициент принимается равным 1,076.</t>
    </r>
  </si>
  <si>
    <t xml:space="preserve">Кол-во 3 </t>
  </si>
  <si>
    <t xml:space="preserve">Расчеты среднеарифметического значения </t>
  </si>
  <si>
    <t>Источник сведений о группе объектов, о количестве объектов, дата актуальности значения</t>
  </si>
  <si>
    <t>Источник сведений о частоте выполнения действия, дата актуальности значения</t>
  </si>
  <si>
    <t>Источник сведений о сроке службы или частоте приобретений, дата актуальности значения</t>
  </si>
  <si>
    <t>Источник, дата актуальности значения</t>
  </si>
  <si>
    <t>Источник (объем выпуска продукции), дата актуальности значения</t>
  </si>
  <si>
    <t>Источник (оценка кол-ва занятых), дата актуальности значения</t>
  </si>
  <si>
    <t>Источник (длительность простоя), дата актуальности значения</t>
  </si>
  <si>
    <t>Источник (частота возникновения простоя), дата актуальности значения</t>
  </si>
  <si>
    <t>Источник сведений о средней стоимости приобретения, дата актуальности значения</t>
  </si>
  <si>
    <t>Источник сведений о количестве единиц товара, работ или услуг, дата актуальности значения</t>
  </si>
  <si>
    <t>Источник сведений о затратах рабочего времени на выполнение действия, дата актуальности значения</t>
  </si>
  <si>
    <t xml:space="preserve">Расчеты средневзвешенного значения </t>
  </si>
  <si>
    <r>
      <t xml:space="preserve">Можно использовать справочник стандартных величин: стандартные затраты рабочего времени на выполнение типовых операций (действий)
</t>
    </r>
    <r>
      <rPr>
        <i/>
        <sz val="12"/>
        <color theme="0" tint="-0.499984740745262"/>
        <rFont val="Calibri"/>
        <family val="2"/>
        <charset val="204"/>
        <scheme val="minor"/>
      </rPr>
      <t>Пункт 341. Деятельность по организации и проведению азартных игр и заключения пари</t>
    </r>
  </si>
  <si>
    <t>https://knd.gov.ru/registry?registryTypes=processingPreciousAzart</t>
  </si>
  <si>
    <t>Издержки, связанные с приобретениями, не предполагаются</t>
  </si>
  <si>
    <t>Пункт 1 справочника стандартных затрат рабочего времени на проведение типовых операций, действий. Типовое действие- Подготовка информации о работах, услугах для предоставления потребителям в сети Интернет (одна-две страницы сайта)</t>
  </si>
  <si>
    <t>Организаторы проведения азартных игр в букмекерских конторах или тотализаторах</t>
  </si>
  <si>
    <t>Производственный календарь на 2026 год</t>
  </si>
  <si>
    <t xml:space="preserve">Частота установлена согласно буквальному толкованию проекта приказа </t>
  </si>
  <si>
    <t>Проектируемое требование должно быть соблюдено каждым организатором  проведения азартных игр в букмекерских конторах или тотализаторах, количество организаторов азартных игр- 22</t>
  </si>
  <si>
    <t>П. 2 требований «Графическое изображение должно представлять собой прямоугольник размером 384 х 190 пикселей, содержащий следующую информацию: 
«Информация о финансовых услугах в целях инвестирования свободных денежных средств для их сохранения и (или) получения дополнительного дохода».
Цвет фона графического изображения должен быть белый. 
Надписи графического изображения должны выполняться черным цветом, шрифтом Lato. 
Размер шрифта текста графического изображения должен быть № 16 с междустрочным интервалом 24 пт.
Выравнивание текста графического изображения должно осуществляться по центру. 
Рекомендуемый образец графического изображения приведен в приложении к настоящему документу».</t>
  </si>
  <si>
    <t xml:space="preserve">1) П. 2 требований «2. Графическое изображение должно представлять собой прямоугольник размером 384 х 190 пикселей, содержащий следующую информацию: 
«Информация о финансовых услугах в целях инвестирования свободных денежных средств для их сохранения и (или) получения дополнительного дохода».
Цвет фона графического изображения должен быть белый. 
Надписи графического изображения должны выполняться черным цветом, шрифтом Lato. 
Размер шрифта текста графического изображения должен быть № 16 с междустрочным интервалом 24 пт.
Выравнивание текста графического изображения должно осуществляться по центру. 
Рекомендуемый образец графического изображения приведен в приложении к настоящему документу».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</si>
</sst>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_-;\-* #,##0.00\ _₽_-;_-* &quot;-&quot;??\ _₽_-;_-@_-"/>
    <numFmt numFmtId="165" formatCode="_-* #,##0\ _₽_-;\-* #,##0\ _₽_-;_-* &quot;-&quot;??\ _₽_-;_-@_-"/>
    <numFmt numFmtId="166" formatCode="0.0"/>
    <numFmt numFmtId="167" formatCode="0.000"/>
    <numFmt numFmtId="168" formatCode="#,##0.####"/>
    <numFmt numFmtId="169" formatCode="#,##0.#"/>
    <numFmt numFmtId="170" formatCode="_-* #,##0.0\ _₽_-;\-* #,##0.0\ _₽_-;_-* &quot;-&quot;??\ _₽_-;_-@_-"/>
    <numFmt numFmtId="171" formatCode="#,##0.000_ ;\-#,##0.000\ "/>
    <numFmt numFmtId="172" formatCode="#,##0.0"/>
    <numFmt numFmtId="173" formatCode="#,##0.0_ ;\-#,##0.0\ "/>
    <numFmt numFmtId="174" formatCode="0_ ;\-0\ "/>
    <numFmt numFmtId="175" formatCode="#,##0.000"/>
  </numFmts>
  <fonts count="37"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9"/>
      <color indexed="81"/>
      <name val="Tahoma"/>
      <family val="2"/>
      <charset val="204"/>
    </font>
    <font>
      <b/>
      <sz val="9"/>
      <color indexed="81"/>
      <name val="Tahoma"/>
      <family val="2"/>
      <charset val="204"/>
    </font>
    <font>
      <sz val="11"/>
      <color rgb="FF0070C0"/>
      <name val="Calibri"/>
      <family val="2"/>
      <charset val="204"/>
      <scheme val="minor"/>
    </font>
    <font>
      <b/>
      <sz val="12"/>
      <color theme="1"/>
      <name val="Calibri"/>
      <family val="2"/>
      <charset val="204"/>
      <scheme val="minor"/>
    </font>
    <font>
      <b/>
      <sz val="14"/>
      <color theme="1"/>
      <name val="Calibri"/>
      <family val="2"/>
      <charset val="204"/>
      <scheme val="minor"/>
    </font>
    <font>
      <sz val="8"/>
      <color theme="1"/>
      <name val="Calibri"/>
      <family val="2"/>
      <charset val="204"/>
      <scheme val="minor"/>
    </font>
    <font>
      <sz val="11"/>
      <color rgb="FFFF0000"/>
      <name val="Calibri"/>
      <family val="2"/>
      <charset val="204"/>
      <scheme val="minor"/>
    </font>
    <font>
      <b/>
      <sz val="12"/>
      <color theme="0"/>
      <name val="Calibri"/>
      <family val="2"/>
      <charset val="204"/>
      <scheme val="minor"/>
    </font>
    <font>
      <b/>
      <sz val="14"/>
      <color rgb="FF0092AB"/>
      <name val="Verdana"/>
      <family val="2"/>
      <charset val="204"/>
    </font>
    <font>
      <sz val="12"/>
      <color theme="0"/>
      <name val="Calibri"/>
      <family val="2"/>
      <charset val="204"/>
      <scheme val="minor"/>
    </font>
    <font>
      <sz val="12"/>
      <color theme="1"/>
      <name val="Calibri"/>
      <family val="2"/>
      <charset val="204"/>
      <scheme val="minor"/>
    </font>
    <font>
      <i/>
      <sz val="12"/>
      <color theme="0"/>
      <name val="Calibri"/>
      <family val="2"/>
      <charset val="204"/>
      <scheme val="minor"/>
    </font>
    <font>
      <sz val="9"/>
      <color rgb="FF0092AB"/>
      <name val="Verdana"/>
      <family val="2"/>
      <charset val="204"/>
    </font>
    <font>
      <sz val="11"/>
      <color rgb="FF0092AB"/>
      <name val="Calibri"/>
      <family val="2"/>
      <charset val="204"/>
      <scheme val="minor"/>
    </font>
    <font>
      <b/>
      <sz val="12"/>
      <color rgb="FF0092AB"/>
      <name val="Calibri"/>
      <family val="2"/>
      <charset val="204"/>
      <scheme val="minor"/>
    </font>
    <font>
      <b/>
      <sz val="12"/>
      <name val="Calibri"/>
      <family val="2"/>
      <charset val="204"/>
      <scheme val="minor"/>
    </font>
    <font>
      <sz val="11"/>
      <color theme="1"/>
      <name val="Calibri"/>
      <family val="2"/>
      <charset val="204"/>
    </font>
    <font>
      <u/>
      <sz val="11"/>
      <color theme="10"/>
      <name val="Calibri"/>
      <family val="2"/>
      <charset val="204"/>
      <scheme val="minor"/>
    </font>
    <font>
      <u/>
      <sz val="12"/>
      <color theme="10"/>
      <name val="Calibri"/>
      <family val="2"/>
      <charset val="204"/>
      <scheme val="minor"/>
    </font>
    <font>
      <sz val="12"/>
      <color theme="1"/>
      <name val="Times New Roman"/>
      <family val="1"/>
      <charset val="204"/>
    </font>
    <font>
      <sz val="11"/>
      <color rgb="FF000000"/>
      <name val="Calibri"/>
      <family val="2"/>
      <charset val="204"/>
      <scheme val="minor"/>
    </font>
    <font>
      <sz val="11"/>
      <color theme="1"/>
      <name val="Calibri"/>
      <family val="2"/>
      <scheme val="minor"/>
    </font>
    <font>
      <sz val="11"/>
      <name val="Calibri"/>
      <family val="2"/>
      <charset val="204"/>
      <scheme val="minor"/>
    </font>
    <font>
      <sz val="10"/>
      <name val="Arial"/>
      <family val="2"/>
      <charset val="204"/>
    </font>
    <font>
      <sz val="12"/>
      <color theme="5" tint="-0.249977111117893"/>
      <name val="Calibri"/>
      <family val="2"/>
      <charset val="204"/>
      <scheme val="minor"/>
    </font>
    <font>
      <sz val="12"/>
      <color rgb="FF0092AB"/>
      <name val="Calibri"/>
      <family val="2"/>
      <charset val="204"/>
      <scheme val="minor"/>
    </font>
    <font>
      <b/>
      <sz val="14"/>
      <color rgb="FF0092AB"/>
      <name val="Calibri"/>
      <family val="2"/>
      <charset val="204"/>
      <scheme val="minor"/>
    </font>
    <font>
      <b/>
      <sz val="14"/>
      <color theme="5" tint="-0.249977111117893"/>
      <name val="Calibri"/>
      <family val="2"/>
      <charset val="204"/>
      <scheme val="minor"/>
    </font>
    <font>
      <sz val="12"/>
      <color rgb="FFFF0000"/>
      <name val="Calibri"/>
      <family val="2"/>
      <charset val="204"/>
      <scheme val="minor"/>
    </font>
    <font>
      <sz val="12"/>
      <name val="Calibri"/>
      <family val="2"/>
      <charset val="204"/>
      <scheme val="minor"/>
    </font>
    <font>
      <b/>
      <sz val="11"/>
      <name val="Calibri"/>
      <family val="2"/>
      <charset val="204"/>
      <scheme val="minor"/>
    </font>
    <font>
      <i/>
      <sz val="12"/>
      <color theme="0" tint="-0.499984740745262"/>
      <name val="Calibri"/>
      <family val="2"/>
      <charset val="204"/>
      <scheme val="minor"/>
    </font>
    <font>
      <i/>
      <sz val="9"/>
      <color rgb="FF0092AB"/>
      <name val="Verdana"/>
      <family val="2"/>
      <charset val="204"/>
    </font>
    <font>
      <sz val="12"/>
      <color theme="0" tint="-0.499984740745262"/>
      <name val="Calibri"/>
      <family val="2"/>
      <charset val="204"/>
      <scheme val="minor"/>
    </font>
  </fonts>
  <fills count="13">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92AB"/>
        <bgColor indexed="64"/>
      </patternFill>
    </fill>
    <fill>
      <patternFill patternType="solid">
        <fgColor rgb="FFDFF3F4"/>
        <bgColor indexed="64"/>
      </patternFill>
    </fill>
    <fill>
      <patternFill patternType="solid">
        <fgColor theme="0"/>
        <bgColor indexed="64"/>
      </patternFill>
    </fill>
    <fill>
      <patternFill patternType="solid">
        <fgColor rgb="FFF7F7F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style="hair">
        <color theme="0" tint="-0.14999847407452621"/>
      </right>
      <top/>
      <bottom/>
      <diagonal/>
    </border>
    <border>
      <left style="hair">
        <color rgb="FF0092AB"/>
      </left>
      <right style="hair">
        <color rgb="FF0092AB"/>
      </right>
      <top style="hair">
        <color rgb="FF0092AB"/>
      </top>
      <bottom style="hair">
        <color rgb="FF0092AB"/>
      </bottom>
      <diagonal/>
    </border>
    <border>
      <left style="hair">
        <color rgb="FF0092AB"/>
      </left>
      <right style="hair">
        <color rgb="FF0092AB"/>
      </right>
      <top/>
      <bottom style="hair">
        <color rgb="FF0092AB"/>
      </bottom>
      <diagonal/>
    </border>
    <border>
      <left/>
      <right style="hair">
        <color rgb="FF0092AB"/>
      </right>
      <top/>
      <bottom style="hair">
        <color rgb="FF0092AB"/>
      </bottom>
      <diagonal/>
    </border>
    <border>
      <left/>
      <right style="hair">
        <color rgb="FF0092AB"/>
      </right>
      <top style="hair">
        <color rgb="FF0092AB"/>
      </top>
      <bottom style="hair">
        <color rgb="FF0092AB"/>
      </bottom>
      <diagonal/>
    </border>
    <border>
      <left/>
      <right/>
      <top/>
      <bottom style="hair">
        <color rgb="FF0092AB"/>
      </bottom>
      <diagonal/>
    </border>
    <border>
      <left style="thin">
        <color rgb="FF0092AB"/>
      </left>
      <right/>
      <top style="thin">
        <color rgb="FF0092AB"/>
      </top>
      <bottom/>
      <diagonal/>
    </border>
    <border>
      <left/>
      <right/>
      <top style="thin">
        <color rgb="FF0092AB"/>
      </top>
      <bottom/>
      <diagonal/>
    </border>
    <border>
      <left/>
      <right style="thin">
        <color rgb="FF0092AB"/>
      </right>
      <top style="thin">
        <color rgb="FF0092AB"/>
      </top>
      <bottom/>
      <diagonal/>
    </border>
    <border>
      <left style="thin">
        <color rgb="FF0092AB"/>
      </left>
      <right/>
      <top/>
      <bottom/>
      <diagonal/>
    </border>
    <border>
      <left/>
      <right style="thin">
        <color rgb="FF0092AB"/>
      </right>
      <top/>
      <bottom/>
      <diagonal/>
    </border>
    <border>
      <left style="thin">
        <color rgb="FF0092AB"/>
      </left>
      <right/>
      <top/>
      <bottom style="thin">
        <color rgb="FF0092AB"/>
      </bottom>
      <diagonal/>
    </border>
    <border>
      <left/>
      <right/>
      <top/>
      <bottom style="thin">
        <color rgb="FF0092AB"/>
      </bottom>
      <diagonal/>
    </border>
    <border>
      <left/>
      <right style="thin">
        <color rgb="FF0092AB"/>
      </right>
      <top/>
      <bottom style="thin">
        <color rgb="FF0092AB"/>
      </bottom>
      <diagonal/>
    </border>
    <border>
      <left style="hair">
        <color rgb="FF0092AB"/>
      </left>
      <right/>
      <top style="hair">
        <color rgb="FF0092AB"/>
      </top>
      <bottom style="hair">
        <color rgb="FF0092AB"/>
      </bottom>
      <diagonal/>
    </border>
    <border>
      <left style="thin">
        <color rgb="FF0092AB"/>
      </left>
      <right style="hair">
        <color rgb="FF0092AB"/>
      </right>
      <top style="hair">
        <color rgb="FF0092AB"/>
      </top>
      <bottom style="hair">
        <color rgb="FF0092AB"/>
      </bottom>
      <diagonal/>
    </border>
    <border>
      <left style="hair">
        <color rgb="FF0092AB"/>
      </left>
      <right style="thin">
        <color rgb="FF0092AB"/>
      </right>
      <top style="hair">
        <color rgb="FF0092AB"/>
      </top>
      <bottom style="hair">
        <color rgb="FF0092AB"/>
      </bottom>
      <diagonal/>
    </border>
    <border>
      <left style="thin">
        <color rgb="FF0092AB"/>
      </left>
      <right style="hair">
        <color rgb="FF0092AB"/>
      </right>
      <top style="hair">
        <color rgb="FF0092AB"/>
      </top>
      <bottom style="thin">
        <color rgb="FF0092AB"/>
      </bottom>
      <diagonal/>
    </border>
    <border>
      <left style="hair">
        <color rgb="FF0092AB"/>
      </left>
      <right style="hair">
        <color rgb="FF0092AB"/>
      </right>
      <top style="hair">
        <color rgb="FF0092AB"/>
      </top>
      <bottom style="thin">
        <color rgb="FF0092AB"/>
      </bottom>
      <diagonal/>
    </border>
    <border>
      <left style="hair">
        <color rgb="FF0092AB"/>
      </left>
      <right style="thin">
        <color rgb="FF0092AB"/>
      </right>
      <top style="hair">
        <color rgb="FF0092AB"/>
      </top>
      <bottom style="thin">
        <color rgb="FF0092AB"/>
      </bottom>
      <diagonal/>
    </border>
    <border>
      <left/>
      <right style="hair">
        <color rgb="FFF7F7F7"/>
      </right>
      <top/>
      <bottom style="hair">
        <color rgb="FF0092AB"/>
      </bottom>
      <diagonal/>
    </border>
    <border>
      <left style="hair">
        <color rgb="FFF7F7F7"/>
      </left>
      <right/>
      <top/>
      <bottom style="hair">
        <color rgb="FF0092AB"/>
      </bottom>
      <diagonal/>
    </border>
    <border>
      <left style="hair">
        <color rgb="FFF7F7F7"/>
      </left>
      <right/>
      <top/>
      <bottom/>
      <diagonal/>
    </border>
    <border>
      <left style="hair">
        <color rgb="FF0092AB"/>
      </left>
      <right/>
      <top style="hair">
        <color rgb="FF0092AB"/>
      </top>
      <bottom style="thin">
        <color rgb="FF0092AB"/>
      </bottom>
      <diagonal/>
    </border>
    <border>
      <left/>
      <right style="thin">
        <color rgb="FFF7F7F7"/>
      </right>
      <top/>
      <bottom style="hair">
        <color rgb="FF0092AB"/>
      </bottom>
      <diagonal/>
    </border>
    <border>
      <left/>
      <right style="thin">
        <color rgb="FFF7F7F7"/>
      </right>
      <top/>
      <bottom/>
      <diagonal/>
    </border>
    <border>
      <left style="thin">
        <color rgb="FFF7F7F7"/>
      </left>
      <right/>
      <top/>
      <bottom style="thin">
        <color rgb="FFF7F7F7"/>
      </bottom>
      <diagonal/>
    </border>
    <border>
      <left/>
      <right/>
      <top/>
      <bottom style="thin">
        <color rgb="FFF7F7F7"/>
      </bottom>
      <diagonal/>
    </border>
    <border>
      <left style="hair">
        <color rgb="FFF7F7F7"/>
      </left>
      <right/>
      <top style="thin">
        <color rgb="FF0092AB"/>
      </top>
      <bottom style="thin">
        <color rgb="FFF7F7F7"/>
      </bottom>
      <diagonal/>
    </border>
    <border>
      <left/>
      <right/>
      <top style="thin">
        <color rgb="FF0092AB"/>
      </top>
      <bottom style="thin">
        <color rgb="FFF7F7F7"/>
      </bottom>
      <diagonal/>
    </border>
    <border>
      <left/>
      <right style="hair">
        <color rgb="FFF7F7F7"/>
      </right>
      <top style="thin">
        <color rgb="FF0092AB"/>
      </top>
      <bottom style="thin">
        <color rgb="FFF7F7F7"/>
      </bottom>
      <diagonal/>
    </border>
    <border>
      <left style="thin">
        <color rgb="FFF7F7F7"/>
      </left>
      <right style="hair">
        <color rgb="FF0092AB"/>
      </right>
      <top style="thin">
        <color rgb="FFF7F7F7"/>
      </top>
      <bottom style="hair">
        <color rgb="FF0092AB"/>
      </bottom>
      <diagonal/>
    </border>
    <border>
      <left style="hair">
        <color rgb="FF0092AB"/>
      </left>
      <right style="hair">
        <color rgb="FF0092AB"/>
      </right>
      <top style="thin">
        <color rgb="FFF7F7F7"/>
      </top>
      <bottom style="hair">
        <color rgb="FF0092AB"/>
      </bottom>
      <diagonal/>
    </border>
    <border>
      <left style="hair">
        <color rgb="FF0092AB"/>
      </left>
      <right style="thin">
        <color rgb="FFF7F7F7"/>
      </right>
      <top style="thin">
        <color rgb="FFF7F7F7"/>
      </top>
      <bottom style="hair">
        <color rgb="FF0092AB"/>
      </bottom>
      <diagonal/>
    </border>
    <border>
      <left style="thin">
        <color rgb="FFF7F7F7"/>
      </left>
      <right style="hair">
        <color rgb="FF0092AB"/>
      </right>
      <top style="hair">
        <color rgb="FF0092AB"/>
      </top>
      <bottom style="hair">
        <color rgb="FF0092AB"/>
      </bottom>
      <diagonal/>
    </border>
    <border>
      <left style="hair">
        <color rgb="FF0092AB"/>
      </left>
      <right style="thin">
        <color rgb="FFF7F7F7"/>
      </right>
      <top style="hair">
        <color rgb="FF0092AB"/>
      </top>
      <bottom style="hair">
        <color rgb="FF0092AB"/>
      </bottom>
      <diagonal/>
    </border>
    <border>
      <left/>
      <right/>
      <top style="hair">
        <color rgb="FF0092AB"/>
      </top>
      <bottom/>
      <diagonal/>
    </border>
    <border>
      <left/>
      <right style="hair">
        <color rgb="FF0092AB"/>
      </right>
      <top style="hair">
        <color rgb="FF0092AB"/>
      </top>
      <bottom/>
      <diagonal/>
    </border>
    <border>
      <left style="thin">
        <color rgb="FF0092AB"/>
      </left>
      <right style="thin">
        <color rgb="FF0092AB"/>
      </right>
      <top style="thin">
        <color rgb="FF0092AB"/>
      </top>
      <bottom style="thin">
        <color rgb="FF0092AB"/>
      </bottom>
      <diagonal/>
    </border>
    <border>
      <left style="hair">
        <color rgb="FF0092AB"/>
      </left>
      <right/>
      <top style="hair">
        <color rgb="FF0092AB"/>
      </top>
      <bottom/>
      <diagonal/>
    </border>
    <border>
      <left style="hair">
        <color rgb="FF0092AB"/>
      </left>
      <right/>
      <top/>
      <bottom/>
      <diagonal/>
    </border>
    <border>
      <left/>
      <right style="hair">
        <color rgb="FF0092AB"/>
      </right>
      <top/>
      <bottom/>
      <diagonal/>
    </border>
    <border>
      <left style="hair">
        <color rgb="FF0092AB"/>
      </left>
      <right/>
      <top/>
      <bottom style="hair">
        <color rgb="FF0092AB"/>
      </bottom>
      <diagonal/>
    </border>
    <border>
      <left style="thin">
        <color rgb="FF0092AB"/>
      </left>
      <right/>
      <top style="thin">
        <color rgb="FF0092AB"/>
      </top>
      <bottom style="thin">
        <color rgb="FF0092AB"/>
      </bottom>
      <diagonal/>
    </border>
    <border>
      <left/>
      <right/>
      <top style="thin">
        <color rgb="FF0092AB"/>
      </top>
      <bottom style="thin">
        <color rgb="FF0092AB"/>
      </bottom>
      <diagonal/>
    </border>
    <border>
      <left style="medium">
        <color rgb="FF0092AB"/>
      </left>
      <right/>
      <top style="medium">
        <color rgb="FF0092AB"/>
      </top>
      <bottom/>
      <diagonal/>
    </border>
    <border>
      <left style="thin">
        <color rgb="FF0092AB"/>
      </left>
      <right style="thin">
        <color rgb="FF0092AB"/>
      </right>
      <top style="medium">
        <color rgb="FF0092AB"/>
      </top>
      <bottom style="thin">
        <color rgb="FF0092AB"/>
      </bottom>
      <diagonal/>
    </border>
    <border>
      <left style="thin">
        <color rgb="FF0092AB"/>
      </left>
      <right style="medium">
        <color rgb="FF0092AB"/>
      </right>
      <top style="medium">
        <color rgb="FF0092AB"/>
      </top>
      <bottom style="thin">
        <color rgb="FF0092AB"/>
      </bottom>
      <diagonal/>
    </border>
    <border>
      <left style="medium">
        <color rgb="FF0092AB"/>
      </left>
      <right style="thin">
        <color rgb="FF0092AB"/>
      </right>
      <top style="thin">
        <color rgb="FF0092AB"/>
      </top>
      <bottom style="thin">
        <color rgb="FF0092AB"/>
      </bottom>
      <diagonal/>
    </border>
    <border>
      <left style="thin">
        <color rgb="FF0092AB"/>
      </left>
      <right style="medium">
        <color rgb="FF0092AB"/>
      </right>
      <top style="thin">
        <color rgb="FF0092AB"/>
      </top>
      <bottom style="thin">
        <color rgb="FF0092AB"/>
      </bottom>
      <diagonal/>
    </border>
    <border>
      <left style="medium">
        <color rgb="FF0092AB"/>
      </left>
      <right style="thin">
        <color rgb="FF0092AB"/>
      </right>
      <top style="thin">
        <color rgb="FF0092AB"/>
      </top>
      <bottom style="medium">
        <color rgb="FF0092AB"/>
      </bottom>
      <diagonal/>
    </border>
    <border>
      <left style="thin">
        <color rgb="FF0092AB"/>
      </left>
      <right style="thin">
        <color rgb="FF0092AB"/>
      </right>
      <top style="thin">
        <color rgb="FF0092AB"/>
      </top>
      <bottom style="medium">
        <color rgb="FF0092AB"/>
      </bottom>
      <diagonal/>
    </border>
    <border>
      <left style="thin">
        <color rgb="FF0092AB"/>
      </left>
      <right style="medium">
        <color rgb="FF0092AB"/>
      </right>
      <top style="thin">
        <color rgb="FF0092AB"/>
      </top>
      <bottom style="medium">
        <color rgb="FF0092AB"/>
      </bottom>
      <diagonal/>
    </border>
    <border>
      <left style="medium">
        <color rgb="FF0092AB"/>
      </left>
      <right style="thin">
        <color rgb="FF0092AB"/>
      </right>
      <top style="medium">
        <color rgb="FF0092AB"/>
      </top>
      <bottom style="thin">
        <color rgb="FF0092AB"/>
      </bottom>
      <diagonal/>
    </border>
    <border>
      <left/>
      <right style="medium">
        <color rgb="FF0092AB"/>
      </right>
      <top style="thin">
        <color rgb="FF0092AB"/>
      </top>
      <bottom style="thin">
        <color rgb="FF0092AB"/>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5" tint="-0.249977111117893"/>
      </left>
      <right/>
      <top style="thin">
        <color theme="5" tint="-0.249977111117893"/>
      </top>
      <bottom/>
      <diagonal/>
    </border>
    <border>
      <left/>
      <right/>
      <top style="thin">
        <color theme="5" tint="-0.249977111117893"/>
      </top>
      <bottom/>
      <diagonal/>
    </border>
    <border>
      <left/>
      <right style="thin">
        <color theme="5" tint="-0.249977111117893"/>
      </right>
      <top style="thin">
        <color theme="5" tint="-0.249977111117893"/>
      </top>
      <bottom/>
      <diagonal/>
    </border>
    <border>
      <left style="thin">
        <color theme="5" tint="-0.249977111117893"/>
      </left>
      <right/>
      <top/>
      <bottom/>
      <diagonal/>
    </border>
    <border>
      <left/>
      <right style="thin">
        <color theme="5" tint="-0.249977111117893"/>
      </right>
      <top/>
      <bottom/>
      <diagonal/>
    </border>
    <border>
      <left style="thin">
        <color theme="5" tint="-0.249977111117893"/>
      </left>
      <right/>
      <top/>
      <bottom style="thin">
        <color theme="5" tint="-0.249977111117893"/>
      </bottom>
      <diagonal/>
    </border>
    <border>
      <left/>
      <right/>
      <top/>
      <bottom style="thin">
        <color theme="5" tint="-0.249977111117893"/>
      </bottom>
      <diagonal/>
    </border>
    <border>
      <left/>
      <right style="thin">
        <color theme="5" tint="-0.249977111117893"/>
      </right>
      <top/>
      <bottom style="thin">
        <color theme="5" tint="-0.249977111117893"/>
      </bottom>
      <diagonal/>
    </border>
    <border>
      <left style="hair">
        <color theme="0" tint="-0.14999847407452621"/>
      </left>
      <right/>
      <top/>
      <bottom/>
      <diagonal/>
    </border>
    <border>
      <left/>
      <right/>
      <top style="hair">
        <color rgb="FFF7F7F7"/>
      </top>
      <bottom/>
      <diagonal/>
    </border>
    <border>
      <left style="hair">
        <color rgb="FFF7F7F7"/>
      </left>
      <right/>
      <top style="thin">
        <color rgb="FFF7F7F7"/>
      </top>
      <bottom/>
      <diagonal/>
    </border>
    <border>
      <left/>
      <right/>
      <top style="thin">
        <color rgb="FFF7F7F7"/>
      </top>
      <bottom/>
      <diagonal/>
    </border>
    <border>
      <left/>
      <right style="hair">
        <color rgb="FFF7F7F7"/>
      </right>
      <top style="thin">
        <color rgb="FFF7F7F7"/>
      </top>
      <bottom/>
      <diagonal/>
    </border>
    <border>
      <left/>
      <right style="thin">
        <color rgb="FF0092AB"/>
      </right>
      <top style="thin">
        <color rgb="FFF7F7F7"/>
      </top>
      <bottom style="hair">
        <color rgb="FF0092AB"/>
      </bottom>
      <diagonal/>
    </border>
    <border>
      <left/>
      <right style="thin">
        <color rgb="FF0092AB"/>
      </right>
      <top/>
      <bottom style="thin">
        <color rgb="FFF7F7F7"/>
      </bottom>
      <diagonal/>
    </border>
    <border>
      <left/>
      <right/>
      <top style="thin">
        <color rgb="FFF7F7F7"/>
      </top>
      <bottom style="hair">
        <color rgb="FF0092AB"/>
      </bottom>
      <diagonal/>
    </border>
    <border>
      <left/>
      <right style="thin">
        <color rgb="FF0092AB"/>
      </right>
      <top style="hair">
        <color rgb="FF0092AB"/>
      </top>
      <bottom style="hair">
        <color rgb="FF0092AB"/>
      </bottom>
      <diagonal/>
    </border>
    <border>
      <left/>
      <right style="thin">
        <color rgb="FF0092AB"/>
      </right>
      <top style="hair">
        <color rgb="FF0092AB"/>
      </top>
      <bottom style="thin">
        <color rgb="FF0092AB"/>
      </bottom>
      <diagonal/>
    </border>
    <border>
      <left style="hair">
        <color rgb="FF0092AB"/>
      </left>
      <right style="thin">
        <color rgb="FFF7F7F7"/>
      </right>
      <top/>
      <bottom style="hair">
        <color rgb="FF0092AB"/>
      </bottom>
      <diagonal/>
    </border>
    <border>
      <left style="thin">
        <color rgb="FFF7F7F7"/>
      </left>
      <right/>
      <top style="hair">
        <color rgb="FF0092AB"/>
      </top>
      <bottom style="hair">
        <color rgb="FF0092AB"/>
      </bottom>
      <diagonal/>
    </border>
    <border>
      <left/>
      <right/>
      <top style="hair">
        <color rgb="FF0092AB"/>
      </top>
      <bottom style="hair">
        <color rgb="FF0092AB"/>
      </bottom>
      <diagonal/>
    </border>
    <border>
      <left/>
      <right style="thin">
        <color rgb="FFF7F7F7"/>
      </right>
      <top style="hair">
        <color rgb="FF0092AB"/>
      </top>
      <bottom style="hair">
        <color rgb="FF0092AB"/>
      </bottom>
      <diagonal/>
    </border>
  </borders>
  <cellStyleXfs count="5">
    <xf numFmtId="0" fontId="0" fillId="0" borderId="0"/>
    <xf numFmtId="164" fontId="1" fillId="0" borderId="0" applyFont="0" applyFill="0" applyBorder="0" applyAlignment="0" applyProtection="0"/>
    <xf numFmtId="0" fontId="20" fillId="0" borderId="0" applyNumberFormat="0" applyFill="0" applyBorder="0" applyAlignment="0" applyProtection="0"/>
    <xf numFmtId="0" fontId="24" fillId="0" borderId="0"/>
    <xf numFmtId="164" fontId="24" fillId="0" borderId="0" applyFont="0" applyFill="0" applyBorder="0" applyAlignment="0" applyProtection="0"/>
  </cellStyleXfs>
  <cellXfs count="461">
    <xf numFmtId="0" fontId="0" fillId="0" borderId="0" xfId="0"/>
    <xf numFmtId="0" fontId="2" fillId="0" borderId="0" xfId="0" applyFont="1"/>
    <xf numFmtId="0" fontId="0" fillId="0" borderId="1" xfId="0" applyBorder="1"/>
    <xf numFmtId="0" fontId="2" fillId="0" borderId="1" xfId="0" applyFont="1" applyBorder="1"/>
    <xf numFmtId="0" fontId="0" fillId="2" borderId="1" xfId="0" applyFill="1" applyBorder="1"/>
    <xf numFmtId="0" fontId="5" fillId="0" borderId="0" xfId="0" applyFont="1"/>
    <xf numFmtId="0" fontId="0" fillId="3" borderId="1" xfId="0" applyFill="1" applyBorder="1"/>
    <xf numFmtId="0" fontId="0" fillId="4" borderId="1" xfId="0" applyFill="1" applyBorder="1"/>
    <xf numFmtId="0" fontId="0" fillId="0" borderId="1" xfId="0" applyBorder="1" applyAlignment="1">
      <alignment horizontal="center"/>
    </xf>
    <xf numFmtId="0" fontId="2" fillId="0" borderId="1"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0" fillId="6" borderId="0" xfId="0" applyFill="1"/>
    <xf numFmtId="0" fontId="0" fillId="6" borderId="0" xfId="0" applyFill="1" applyAlignment="1">
      <alignment vertical="top" wrapText="1"/>
    </xf>
    <xf numFmtId="0" fontId="0" fillId="0" borderId="0" xfId="0" applyAlignment="1">
      <alignment vertical="top" wrapText="1"/>
    </xf>
    <xf numFmtId="0" fontId="2" fillId="6" borderId="0" xfId="0" applyFont="1" applyFill="1" applyAlignment="1">
      <alignment vertical="top" wrapText="1"/>
    </xf>
    <xf numFmtId="0" fontId="9" fillId="0" borderId="0" xfId="0" applyFont="1" applyAlignment="1">
      <alignment vertical="top" wrapText="1"/>
    </xf>
    <xf numFmtId="0" fontId="8" fillId="6" borderId="0" xfId="0" applyFont="1" applyFill="1" applyAlignment="1">
      <alignment vertical="top" wrapText="1"/>
    </xf>
    <xf numFmtId="0" fontId="8" fillId="0" borderId="0" xfId="0" applyFont="1" applyAlignment="1">
      <alignment vertical="top" wrapText="1"/>
    </xf>
    <xf numFmtId="0" fontId="0" fillId="6" borderId="0" xfId="0" applyFill="1" applyAlignment="1">
      <alignment horizontal="left" vertical="top" wrapText="1"/>
    </xf>
    <xf numFmtId="0" fontId="13" fillId="6" borderId="0" xfId="0" applyFont="1" applyFill="1" applyAlignment="1">
      <alignment vertical="top" wrapText="1"/>
    </xf>
    <xf numFmtId="0" fontId="12" fillId="6" borderId="0" xfId="0" applyFont="1" applyFill="1" applyAlignment="1">
      <alignment horizontal="left" vertical="top" wrapText="1"/>
    </xf>
    <xf numFmtId="0" fontId="13" fillId="6" borderId="0" xfId="0" applyFont="1" applyFill="1" applyAlignment="1">
      <alignment horizontal="center" vertical="top" wrapText="1"/>
    </xf>
    <xf numFmtId="0" fontId="13" fillId="6" borderId="0" xfId="0" applyFont="1" applyFill="1" applyAlignment="1">
      <alignment horizontal="left" vertical="top" wrapText="1"/>
    </xf>
    <xf numFmtId="164" fontId="13" fillId="8" borderId="4" xfId="0" applyNumberFormat="1" applyFont="1" applyFill="1" applyBorder="1" applyAlignment="1">
      <alignment vertical="top" wrapText="1"/>
    </xf>
    <xf numFmtId="164" fontId="13" fillId="8" borderId="3" xfId="0" applyNumberFormat="1" applyFont="1" applyFill="1" applyBorder="1" applyAlignment="1">
      <alignment vertical="top" wrapText="1"/>
    </xf>
    <xf numFmtId="0" fontId="13" fillId="8" borderId="5" xfId="0" applyFont="1" applyFill="1" applyBorder="1" applyAlignment="1">
      <alignment horizontal="center" vertical="top" wrapText="1"/>
    </xf>
    <xf numFmtId="0" fontId="13" fillId="8" borderId="6" xfId="0" applyFont="1" applyFill="1" applyBorder="1" applyAlignment="1">
      <alignment horizontal="center" vertical="top" wrapText="1"/>
    </xf>
    <xf numFmtId="0" fontId="12" fillId="5" borderId="0" xfId="0" applyFont="1" applyFill="1" applyAlignment="1">
      <alignment vertical="top" wrapText="1"/>
    </xf>
    <xf numFmtId="0" fontId="14" fillId="5" borderId="0" xfId="0" applyFont="1" applyFill="1" applyAlignment="1">
      <alignment vertical="top" wrapText="1"/>
    </xf>
    <xf numFmtId="16" fontId="12" fillId="5" borderId="0" xfId="0" applyNumberFormat="1" applyFont="1" applyFill="1" applyAlignment="1">
      <alignment horizontal="left" vertical="top" wrapText="1"/>
    </xf>
    <xf numFmtId="0" fontId="13" fillId="7" borderId="3" xfId="0" applyFont="1" applyFill="1" applyBorder="1" applyAlignment="1">
      <alignment vertical="top" wrapText="1"/>
    </xf>
    <xf numFmtId="0" fontId="16" fillId="6" borderId="0" xfId="0" applyFont="1" applyFill="1" applyAlignment="1">
      <alignment vertical="top" wrapText="1"/>
    </xf>
    <xf numFmtId="0" fontId="11" fillId="6" borderId="0" xfId="0" applyFont="1" applyFill="1"/>
    <xf numFmtId="0" fontId="10" fillId="5" borderId="0" xfId="0" applyFont="1" applyFill="1" applyAlignment="1">
      <alignment horizontal="center" vertical="center"/>
    </xf>
    <xf numFmtId="0" fontId="12" fillId="5" borderId="0" xfId="0" applyFont="1" applyFill="1"/>
    <xf numFmtId="0" fontId="6" fillId="6" borderId="0" xfId="0" applyFont="1" applyFill="1"/>
    <xf numFmtId="0" fontId="13" fillId="0" borderId="0" xfId="0" applyFont="1"/>
    <xf numFmtId="0" fontId="18" fillId="6" borderId="0" xfId="0" applyFont="1" applyFill="1"/>
    <xf numFmtId="0" fontId="17" fillId="6" borderId="0" xfId="0" applyFont="1" applyFill="1"/>
    <xf numFmtId="0" fontId="18" fillId="6" borderId="0" xfId="0" applyFont="1" applyFill="1" applyAlignment="1">
      <alignment horizontal="left" vertical="top"/>
    </xf>
    <xf numFmtId="164" fontId="13" fillId="8" borderId="0" xfId="0" applyNumberFormat="1" applyFont="1" applyFill="1" applyAlignment="1">
      <alignment vertical="center"/>
    </xf>
    <xf numFmtId="164" fontId="6" fillId="8" borderId="0" xfId="0" applyNumberFormat="1" applyFont="1" applyFill="1" applyAlignment="1">
      <alignment vertical="center"/>
    </xf>
    <xf numFmtId="0" fontId="13" fillId="6" borderId="0" xfId="0" applyFont="1" applyFill="1"/>
    <xf numFmtId="0" fontId="13" fillId="7" borderId="3" xfId="0" applyFont="1" applyFill="1" applyBorder="1"/>
    <xf numFmtId="0" fontId="13" fillId="6" borderId="8" xfId="0" applyFont="1" applyFill="1" applyBorder="1"/>
    <xf numFmtId="0" fontId="13" fillId="6" borderId="9" xfId="0" applyFont="1" applyFill="1" applyBorder="1"/>
    <xf numFmtId="0" fontId="13" fillId="6" borderId="10" xfId="0" applyFont="1" applyFill="1" applyBorder="1"/>
    <xf numFmtId="0" fontId="13" fillId="6" borderId="11" xfId="0" applyFont="1" applyFill="1" applyBorder="1"/>
    <xf numFmtId="0" fontId="13" fillId="6" borderId="12" xfId="0" applyFont="1" applyFill="1" applyBorder="1"/>
    <xf numFmtId="0" fontId="13" fillId="6" borderId="11" xfId="0" applyFont="1" applyFill="1" applyBorder="1" applyAlignment="1">
      <alignment horizontal="left" vertical="top" wrapText="1"/>
    </xf>
    <xf numFmtId="0" fontId="13" fillId="6" borderId="12" xfId="0" applyFont="1" applyFill="1" applyBorder="1" applyAlignment="1">
      <alignment horizontal="left" vertical="top" wrapText="1"/>
    </xf>
    <xf numFmtId="0" fontId="13" fillId="0" borderId="0" xfId="0" applyFont="1" applyAlignment="1">
      <alignment horizontal="left" vertical="top" wrapText="1"/>
    </xf>
    <xf numFmtId="0" fontId="13" fillId="6" borderId="13" xfId="0" applyFont="1" applyFill="1" applyBorder="1"/>
    <xf numFmtId="0" fontId="13" fillId="6" borderId="15" xfId="0" applyFont="1" applyFill="1" applyBorder="1"/>
    <xf numFmtId="164" fontId="13" fillId="8" borderId="3" xfId="0" applyNumberFormat="1" applyFont="1" applyFill="1" applyBorder="1"/>
    <xf numFmtId="0" fontId="13" fillId="6" borderId="14" xfId="0" applyFont="1" applyFill="1" applyBorder="1"/>
    <xf numFmtId="164" fontId="12" fillId="5" borderId="0" xfId="0" applyNumberFormat="1" applyFont="1" applyFill="1"/>
    <xf numFmtId="0" fontId="7" fillId="6" borderId="0" xfId="0" applyFont="1" applyFill="1"/>
    <xf numFmtId="164" fontId="13" fillId="7" borderId="3" xfId="1" applyFont="1" applyFill="1" applyBorder="1"/>
    <xf numFmtId="0" fontId="13" fillId="6" borderId="0" xfId="0" applyFont="1" applyFill="1" applyAlignment="1">
      <alignment wrapText="1"/>
    </xf>
    <xf numFmtId="0" fontId="13" fillId="0" borderId="0" xfId="0" applyFont="1" applyAlignment="1">
      <alignment wrapText="1"/>
    </xf>
    <xf numFmtId="164" fontId="13" fillId="7" borderId="17" xfId="1" applyFont="1" applyFill="1" applyBorder="1"/>
    <xf numFmtId="0" fontId="13" fillId="7" borderId="18" xfId="0" applyFont="1" applyFill="1" applyBorder="1"/>
    <xf numFmtId="164" fontId="13" fillId="7" borderId="19" xfId="1" applyFont="1" applyFill="1" applyBorder="1"/>
    <xf numFmtId="0" fontId="13" fillId="7" borderId="20" xfId="0" applyFont="1" applyFill="1" applyBorder="1"/>
    <xf numFmtId="164" fontId="13" fillId="8" borderId="20" xfId="0" applyNumberFormat="1" applyFont="1" applyFill="1" applyBorder="1"/>
    <xf numFmtId="164" fontId="13" fillId="7" borderId="20" xfId="1" applyFont="1" applyFill="1" applyBorder="1"/>
    <xf numFmtId="0" fontId="13" fillId="7" borderId="21" xfId="0" applyFont="1" applyFill="1" applyBorder="1"/>
    <xf numFmtId="0" fontId="13" fillId="7" borderId="6" xfId="0" applyFont="1" applyFill="1" applyBorder="1"/>
    <xf numFmtId="0" fontId="13" fillId="7" borderId="17" xfId="0" applyFont="1" applyFill="1" applyBorder="1"/>
    <xf numFmtId="0" fontId="13" fillId="7" borderId="19" xfId="0" applyFont="1" applyFill="1" applyBorder="1"/>
    <xf numFmtId="164" fontId="13" fillId="8" borderId="6" xfId="0" applyNumberFormat="1" applyFont="1" applyFill="1" applyBorder="1"/>
    <xf numFmtId="164" fontId="13" fillId="8" borderId="17" xfId="1" applyFont="1" applyFill="1" applyBorder="1"/>
    <xf numFmtId="164" fontId="13" fillId="8" borderId="18" xfId="1" applyFont="1" applyFill="1" applyBorder="1"/>
    <xf numFmtId="0" fontId="13" fillId="7" borderId="16" xfId="0" applyFont="1" applyFill="1" applyBorder="1" applyAlignment="1">
      <alignment wrapText="1"/>
    </xf>
    <xf numFmtId="0" fontId="13" fillId="7" borderId="3" xfId="0" applyFont="1" applyFill="1" applyBorder="1" applyAlignment="1">
      <alignment wrapText="1"/>
    </xf>
    <xf numFmtId="0" fontId="12" fillId="5" borderId="7" xfId="0" applyFont="1" applyFill="1" applyBorder="1" applyAlignment="1">
      <alignment horizontal="left" vertical="top" wrapText="1"/>
    </xf>
    <xf numFmtId="0" fontId="12" fillId="5" borderId="22" xfId="0" applyFont="1" applyFill="1" applyBorder="1" applyAlignment="1">
      <alignment horizontal="left" vertical="top" wrapText="1"/>
    </xf>
    <xf numFmtId="0" fontId="12" fillId="5" borderId="23" xfId="0" applyFont="1" applyFill="1" applyBorder="1" applyAlignment="1">
      <alignment horizontal="left" vertical="top" wrapText="1"/>
    </xf>
    <xf numFmtId="0" fontId="16" fillId="0" borderId="0" xfId="0" applyFont="1" applyAlignment="1">
      <alignment vertical="center"/>
    </xf>
    <xf numFmtId="0" fontId="16" fillId="0" borderId="0" xfId="0" applyFont="1" applyAlignment="1">
      <alignment horizontal="center" vertical="center"/>
    </xf>
    <xf numFmtId="0" fontId="13" fillId="8" borderId="0" xfId="0" applyFont="1" applyFill="1" applyAlignment="1">
      <alignment vertical="center"/>
    </xf>
    <xf numFmtId="0" fontId="13" fillId="8" borderId="0" xfId="0" applyFont="1" applyFill="1" applyAlignment="1">
      <alignment horizontal="center" vertical="center"/>
    </xf>
    <xf numFmtId="0" fontId="6" fillId="8" borderId="0" xfId="0" applyFont="1" applyFill="1" applyAlignment="1">
      <alignment vertical="center"/>
    </xf>
    <xf numFmtId="0" fontId="12" fillId="5" borderId="0" xfId="0" applyFont="1" applyFill="1" applyAlignment="1">
      <alignment vertical="center" wrapText="1"/>
    </xf>
    <xf numFmtId="0" fontId="10" fillId="5" borderId="0" xfId="0" applyFont="1" applyFill="1" applyAlignment="1">
      <alignment vertical="center" wrapText="1"/>
    </xf>
    <xf numFmtId="0" fontId="12" fillId="5" borderId="0" xfId="0" applyFont="1" applyFill="1" applyAlignment="1">
      <alignment horizontal="center" vertical="center"/>
    </xf>
    <xf numFmtId="0" fontId="12" fillId="5" borderId="0" xfId="0" applyFont="1" applyFill="1" applyAlignment="1">
      <alignment vertical="top"/>
    </xf>
    <xf numFmtId="0" fontId="12" fillId="5" borderId="0" xfId="0" applyFont="1" applyFill="1" applyAlignment="1">
      <alignment horizontal="center" vertical="top"/>
    </xf>
    <xf numFmtId="0" fontId="13" fillId="6" borderId="0" xfId="0" applyFont="1" applyFill="1" applyAlignment="1">
      <alignment vertical="center"/>
    </xf>
    <xf numFmtId="0" fontId="13" fillId="0" borderId="0" xfId="0" applyFont="1" applyAlignment="1">
      <alignment vertical="center"/>
    </xf>
    <xf numFmtId="0" fontId="13" fillId="6" borderId="11" xfId="0" applyFont="1" applyFill="1" applyBorder="1" applyAlignment="1">
      <alignment vertical="center"/>
    </xf>
    <xf numFmtId="0" fontId="13" fillId="6" borderId="12" xfId="0" applyFont="1" applyFill="1" applyBorder="1" applyAlignment="1">
      <alignment vertical="center"/>
    </xf>
    <xf numFmtId="0" fontId="12" fillId="5" borderId="0" xfId="0" applyFont="1" applyFill="1" applyAlignment="1">
      <alignment vertical="center"/>
    </xf>
    <xf numFmtId="164" fontId="12" fillId="5" borderId="0" xfId="0" applyNumberFormat="1" applyFont="1" applyFill="1" applyAlignment="1">
      <alignment vertical="center"/>
    </xf>
    <xf numFmtId="0" fontId="13" fillId="7" borderId="3" xfId="0" applyFont="1" applyFill="1" applyBorder="1" applyAlignment="1">
      <alignment vertical="top"/>
    </xf>
    <xf numFmtId="164" fontId="13" fillId="8" borderId="3" xfId="0" applyNumberFormat="1" applyFont="1" applyFill="1" applyBorder="1" applyAlignment="1">
      <alignment vertical="top"/>
    </xf>
    <xf numFmtId="164" fontId="13" fillId="7" borderId="3" xfId="0" applyNumberFormat="1" applyFont="1" applyFill="1" applyBorder="1" applyAlignment="1">
      <alignment vertical="top"/>
    </xf>
    <xf numFmtId="0" fontId="6" fillId="5" borderId="0" xfId="0" applyFont="1" applyFill="1" applyAlignment="1">
      <alignment vertical="center"/>
    </xf>
    <xf numFmtId="164" fontId="13" fillId="7" borderId="36" xfId="1" applyFont="1" applyFill="1" applyBorder="1" applyAlignment="1">
      <alignment vertical="center" wrapText="1"/>
    </xf>
    <xf numFmtId="0" fontId="13" fillId="8" borderId="3" xfId="0" applyFont="1" applyFill="1" applyBorder="1" applyAlignment="1">
      <alignment vertical="center" wrapText="1"/>
    </xf>
    <xf numFmtId="0" fontId="13" fillId="7" borderId="37" xfId="0" applyFont="1" applyFill="1" applyBorder="1" applyAlignment="1">
      <alignment vertical="center" wrapText="1"/>
    </xf>
    <xf numFmtId="0" fontId="13" fillId="7" borderId="36" xfId="0" applyFont="1" applyFill="1" applyBorder="1" applyAlignment="1">
      <alignment horizontal="center" vertical="center" wrapText="1"/>
    </xf>
    <xf numFmtId="0" fontId="0" fillId="6" borderId="0" xfId="0" applyFill="1" applyAlignment="1">
      <alignment horizontal="left" vertical="top"/>
    </xf>
    <xf numFmtId="0" fontId="2" fillId="6" borderId="0" xfId="0" applyFont="1" applyFill="1"/>
    <xf numFmtId="0" fontId="0" fillId="6" borderId="40" xfId="0" applyFill="1" applyBorder="1"/>
    <xf numFmtId="0" fontId="2" fillId="6" borderId="47" xfId="0" applyFont="1" applyFill="1" applyBorder="1"/>
    <xf numFmtId="0" fontId="0" fillId="6" borderId="50" xfId="0" applyFill="1" applyBorder="1"/>
    <xf numFmtId="0" fontId="0" fillId="6" borderId="51" xfId="0" applyFill="1" applyBorder="1"/>
    <xf numFmtId="0" fontId="2" fillId="6" borderId="52" xfId="0" applyFont="1" applyFill="1" applyBorder="1"/>
    <xf numFmtId="0" fontId="2" fillId="6" borderId="53" xfId="0" applyFont="1" applyFill="1" applyBorder="1"/>
    <xf numFmtId="0" fontId="0" fillId="6" borderId="54" xfId="0" applyFill="1" applyBorder="1"/>
    <xf numFmtId="0" fontId="2" fillId="6" borderId="50" xfId="0" applyFont="1" applyFill="1" applyBorder="1"/>
    <xf numFmtId="0" fontId="0" fillId="6" borderId="55" xfId="0" applyFill="1" applyBorder="1"/>
    <xf numFmtId="0" fontId="0" fillId="6" borderId="48" xfId="0" applyFill="1" applyBorder="1"/>
    <xf numFmtId="0" fontId="0" fillId="6" borderId="49" xfId="0" applyFill="1" applyBorder="1"/>
    <xf numFmtId="0" fontId="0" fillId="7" borderId="40" xfId="0" applyFill="1" applyBorder="1"/>
    <xf numFmtId="164" fontId="0" fillId="7" borderId="40" xfId="1" applyFont="1" applyFill="1" applyBorder="1"/>
    <xf numFmtId="164" fontId="0" fillId="6" borderId="40" xfId="1" applyFont="1" applyFill="1" applyBorder="1"/>
    <xf numFmtId="166" fontId="0" fillId="7" borderId="40" xfId="0" applyNumberFormat="1" applyFill="1" applyBorder="1"/>
    <xf numFmtId="164" fontId="2" fillId="6" borderId="53" xfId="0" applyNumberFormat="1" applyFont="1" applyFill="1" applyBorder="1"/>
    <xf numFmtId="0" fontId="6" fillId="6" borderId="0" xfId="0" applyFont="1" applyFill="1" applyAlignment="1">
      <alignment horizontal="left" vertical="center"/>
    </xf>
    <xf numFmtId="1" fontId="2" fillId="6" borderId="53" xfId="0" applyNumberFormat="1" applyFont="1" applyFill="1" applyBorder="1"/>
    <xf numFmtId="164" fontId="2" fillId="6" borderId="53" xfId="1" applyFont="1" applyFill="1" applyBorder="1"/>
    <xf numFmtId="0" fontId="12" fillId="5" borderId="0" xfId="0" applyFont="1" applyFill="1" applyAlignment="1">
      <alignment horizontal="left" vertical="top" wrapText="1"/>
    </xf>
    <xf numFmtId="0" fontId="12" fillId="5" borderId="0" xfId="0" applyFont="1" applyFill="1" applyAlignment="1">
      <alignment horizontal="center" vertical="center" wrapText="1"/>
    </xf>
    <xf numFmtId="0" fontId="13" fillId="0" borderId="0" xfId="0" applyFont="1" applyAlignment="1">
      <alignment horizontal="left" vertical="center"/>
    </xf>
    <xf numFmtId="0" fontId="6" fillId="0" borderId="0" xfId="0" applyFont="1"/>
    <xf numFmtId="0" fontId="2" fillId="2" borderId="1" xfId="0" applyFont="1" applyFill="1" applyBorder="1" applyAlignment="1">
      <alignment horizontal="left" vertical="top" wrapText="1"/>
    </xf>
    <xf numFmtId="0" fontId="0" fillId="0" borderId="1" xfId="0" applyBorder="1" applyAlignment="1">
      <alignment vertical="top" wrapText="1"/>
    </xf>
    <xf numFmtId="2" fontId="0" fillId="0" borderId="1" xfId="0" applyNumberFormat="1" applyBorder="1" applyAlignment="1">
      <alignment horizontal="center" vertical="top" wrapText="1"/>
    </xf>
    <xf numFmtId="0" fontId="22" fillId="0" borderId="0" xfId="0" applyFont="1" applyAlignment="1">
      <alignment horizontal="left" vertical="center" indent="5"/>
    </xf>
    <xf numFmtId="0" fontId="0" fillId="0" borderId="0" xfId="0" applyAlignment="1">
      <alignment wrapText="1"/>
    </xf>
    <xf numFmtId="0" fontId="0" fillId="0" borderId="0" xfId="0" applyAlignment="1">
      <alignment vertical="top"/>
    </xf>
    <xf numFmtId="0" fontId="2" fillId="2" borderId="1" xfId="0" applyFont="1" applyFill="1" applyBorder="1" applyAlignment="1">
      <alignment horizontal="center" vertical="top" wrapText="1"/>
    </xf>
    <xf numFmtId="0" fontId="2" fillId="2" borderId="1" xfId="0" applyFont="1" applyFill="1" applyBorder="1" applyAlignment="1">
      <alignment vertical="top" wrapText="1"/>
    </xf>
    <xf numFmtId="166" fontId="0" fillId="0" borderId="1" xfId="0" applyNumberFormat="1" applyBorder="1" applyAlignment="1">
      <alignment vertical="top"/>
    </xf>
    <xf numFmtId="166" fontId="0" fillId="0" borderId="1" xfId="0" applyNumberFormat="1" applyBorder="1" applyAlignment="1">
      <alignment horizontal="center" vertical="top"/>
    </xf>
    <xf numFmtId="0" fontId="0" fillId="0" borderId="0" xfId="0" applyAlignment="1">
      <alignment horizontal="center" vertical="top"/>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1" fontId="23" fillId="0" borderId="1" xfId="0" applyNumberFormat="1" applyFont="1" applyBorder="1" applyAlignment="1">
      <alignment horizontal="center" vertical="center" wrapText="1"/>
    </xf>
    <xf numFmtId="17" fontId="0" fillId="0" borderId="1" xfId="0" applyNumberFormat="1" applyBorder="1"/>
    <xf numFmtId="167" fontId="23" fillId="0" borderId="1" xfId="0" applyNumberFormat="1" applyFont="1" applyBorder="1" applyAlignment="1">
      <alignment horizontal="center" vertical="center" wrapText="1"/>
    </xf>
    <xf numFmtId="167" fontId="0" fillId="0" borderId="1" xfId="0" applyNumberFormat="1" applyBorder="1"/>
    <xf numFmtId="0" fontId="6" fillId="0" borderId="0" xfId="0" applyFont="1" applyAlignment="1">
      <alignment vertical="top"/>
    </xf>
    <xf numFmtId="0" fontId="2" fillId="0" borderId="0" xfId="0" applyFont="1" applyAlignment="1">
      <alignment vertical="top"/>
    </xf>
    <xf numFmtId="0" fontId="0" fillId="0" borderId="1" xfId="0" applyBorder="1" applyAlignment="1">
      <alignment vertical="top"/>
    </xf>
    <xf numFmtId="0" fontId="6" fillId="0" borderId="0" xfId="0" applyFont="1" applyAlignment="1">
      <alignment horizontal="left" vertical="top"/>
    </xf>
    <xf numFmtId="0" fontId="24" fillId="0" borderId="1" xfId="3" applyBorder="1" applyAlignment="1">
      <alignment horizontal="left" vertical="top" wrapText="1"/>
    </xf>
    <xf numFmtId="0" fontId="24" fillId="0" borderId="1" xfId="3" applyBorder="1" applyAlignment="1">
      <alignment vertical="top" wrapText="1"/>
    </xf>
    <xf numFmtId="17" fontId="0" fillId="0" borderId="1" xfId="0" applyNumberFormat="1" applyBorder="1" applyAlignment="1">
      <alignment vertical="top" wrapText="1"/>
    </xf>
    <xf numFmtId="0" fontId="23" fillId="0" borderId="57" xfId="0" applyFont="1" applyBorder="1" applyAlignment="1">
      <alignment horizontal="center" vertical="center" wrapText="1"/>
    </xf>
    <xf numFmtId="0" fontId="0" fillId="0" borderId="0" xfId="0" applyAlignment="1">
      <alignment horizontal="center" vertical="top" wrapText="1"/>
    </xf>
    <xf numFmtId="0" fontId="25" fillId="0" borderId="0" xfId="0" applyFont="1"/>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26" fillId="0" borderId="0" xfId="0" applyFont="1" applyAlignment="1">
      <alignment horizontal="left" vertical="top" wrapText="1"/>
    </xf>
    <xf numFmtId="168" fontId="25" fillId="0" borderId="1" xfId="0" applyNumberFormat="1" applyFont="1" applyBorder="1" applyAlignment="1">
      <alignment horizontal="right" vertical="top"/>
    </xf>
    <xf numFmtId="169" fontId="25" fillId="0" borderId="1" xfId="0" applyNumberFormat="1" applyFont="1" applyBorder="1" applyAlignment="1">
      <alignment horizontal="right" vertical="top"/>
    </xf>
    <xf numFmtId="169" fontId="0" fillId="0" borderId="1" xfId="0" applyNumberFormat="1" applyBorder="1"/>
    <xf numFmtId="3" fontId="25" fillId="0" borderId="1" xfId="0" applyNumberFormat="1" applyFont="1" applyBorder="1" applyAlignment="1">
      <alignment horizontal="right" vertical="top"/>
    </xf>
    <xf numFmtId="0" fontId="0" fillId="0" borderId="1" xfId="0" applyBorder="1" applyAlignment="1">
      <alignment horizontal="left"/>
    </xf>
    <xf numFmtId="0" fontId="0" fillId="0" borderId="1" xfId="0" applyBorder="1" applyAlignment="1">
      <alignment wrapText="1"/>
    </xf>
    <xf numFmtId="0" fontId="0" fillId="0" borderId="1" xfId="0" applyBorder="1" applyAlignment="1">
      <alignment vertical="center" wrapText="1"/>
    </xf>
    <xf numFmtId="0" fontId="13" fillId="2" borderId="0" xfId="0" applyFont="1" applyFill="1"/>
    <xf numFmtId="0" fontId="13" fillId="2" borderId="0" xfId="0" applyFont="1" applyFill="1" applyAlignment="1">
      <alignment horizontal="left" vertical="center"/>
    </xf>
    <xf numFmtId="0" fontId="1" fillId="0" borderId="0" xfId="3" applyFont="1" applyAlignment="1">
      <alignment horizontal="left" vertical="top" wrapText="1"/>
    </xf>
    <xf numFmtId="0" fontId="1" fillId="0" borderId="60" xfId="3" applyFont="1" applyBorder="1" applyAlignment="1">
      <alignment horizontal="left" vertical="top" wrapText="1"/>
    </xf>
    <xf numFmtId="167" fontId="1" fillId="0" borderId="61" xfId="3" applyNumberFormat="1" applyFont="1" applyBorder="1" applyAlignment="1">
      <alignment horizontal="left" vertical="top" wrapText="1"/>
    </xf>
    <xf numFmtId="0" fontId="1" fillId="0" borderId="61" xfId="3" applyFont="1" applyBorder="1" applyAlignment="1">
      <alignment horizontal="left" vertical="top" wrapText="1"/>
    </xf>
    <xf numFmtId="166" fontId="1" fillId="0" borderId="61" xfId="3" applyNumberFormat="1" applyFont="1" applyBorder="1" applyAlignment="1">
      <alignment horizontal="left" vertical="top" wrapText="1"/>
    </xf>
    <xf numFmtId="2" fontId="1" fillId="0" borderId="61" xfId="3" applyNumberFormat="1" applyFont="1" applyBorder="1" applyAlignment="1">
      <alignment horizontal="left" vertical="top" wrapText="1"/>
    </xf>
    <xf numFmtId="0" fontId="1" fillId="0" borderId="62" xfId="3" applyFont="1" applyBorder="1" applyAlignment="1">
      <alignment horizontal="left" vertical="top" wrapText="1"/>
    </xf>
    <xf numFmtId="170" fontId="1" fillId="0" borderId="61" xfId="4" applyNumberFormat="1" applyFont="1" applyBorder="1" applyAlignment="1">
      <alignment horizontal="left" vertical="top" wrapText="1"/>
    </xf>
    <xf numFmtId="0" fontId="1" fillId="0" borderId="63" xfId="3" applyFont="1" applyBorder="1" applyAlignment="1">
      <alignment horizontal="left" vertical="top" wrapText="1"/>
    </xf>
    <xf numFmtId="167" fontId="1" fillId="0" borderId="1" xfId="3" applyNumberFormat="1" applyFont="1" applyBorder="1" applyAlignment="1">
      <alignment horizontal="left" vertical="top" wrapText="1"/>
    </xf>
    <xf numFmtId="166" fontId="1" fillId="0" borderId="1" xfId="3" applyNumberFormat="1" applyFont="1" applyBorder="1" applyAlignment="1">
      <alignment horizontal="left" vertical="top" wrapText="1"/>
    </xf>
    <xf numFmtId="2" fontId="1" fillId="0" borderId="1" xfId="3" applyNumberFormat="1" applyFont="1" applyBorder="1" applyAlignment="1">
      <alignment horizontal="left" vertical="top" wrapText="1"/>
    </xf>
    <xf numFmtId="0" fontId="1" fillId="0" borderId="64" xfId="3" applyFont="1" applyBorder="1" applyAlignment="1">
      <alignment horizontal="left" vertical="top" wrapText="1"/>
    </xf>
    <xf numFmtId="170" fontId="1" fillId="0" borderId="1" xfId="4" applyNumberFormat="1" applyFont="1" applyBorder="1" applyAlignment="1">
      <alignment horizontal="left" vertical="top" wrapText="1"/>
    </xf>
    <xf numFmtId="0" fontId="1" fillId="0" borderId="1" xfId="3" applyFont="1" applyBorder="1" applyAlignment="1">
      <alignment horizontal="left"/>
    </xf>
    <xf numFmtId="0" fontId="1" fillId="0" borderId="1" xfId="3" applyFont="1" applyBorder="1" applyAlignment="1">
      <alignment horizontal="left" wrapText="1"/>
    </xf>
    <xf numFmtId="0" fontId="1" fillId="0" borderId="1" xfId="3" applyFont="1" applyBorder="1"/>
    <xf numFmtId="0" fontId="1" fillId="0" borderId="1" xfId="3" applyFont="1" applyBorder="1" applyAlignment="1">
      <alignment horizontal="left" vertical="top" wrapText="1"/>
    </xf>
    <xf numFmtId="0" fontId="1" fillId="0" borderId="63" xfId="3" applyFont="1" applyBorder="1" applyAlignment="1">
      <alignment horizontal="center" vertical="top" wrapText="1"/>
    </xf>
    <xf numFmtId="170" fontId="1" fillId="0" borderId="1" xfId="4" applyNumberFormat="1" applyFont="1" applyBorder="1" applyAlignment="1">
      <alignment horizontal="center" vertical="top" wrapText="1"/>
    </xf>
    <xf numFmtId="0" fontId="1" fillId="0" borderId="1" xfId="3" applyFont="1" applyBorder="1" applyAlignment="1">
      <alignment vertical="top"/>
    </xf>
    <xf numFmtId="0" fontId="1" fillId="0" borderId="64" xfId="3" applyFont="1" applyBorder="1" applyAlignment="1">
      <alignment horizontal="left"/>
    </xf>
    <xf numFmtId="171" fontId="1" fillId="0" borderId="1" xfId="4" applyNumberFormat="1" applyFont="1" applyBorder="1" applyAlignment="1">
      <alignment horizontal="center" vertical="top" wrapText="1"/>
    </xf>
    <xf numFmtId="0" fontId="1" fillId="0" borderId="1" xfId="3" applyFont="1" applyBorder="1" applyAlignment="1">
      <alignment vertical="top" wrapText="1"/>
    </xf>
    <xf numFmtId="0" fontId="9" fillId="0" borderId="63" xfId="3" applyFont="1" applyBorder="1" applyAlignment="1">
      <alignment horizontal="left" vertical="top" wrapText="1"/>
    </xf>
    <xf numFmtId="170" fontId="1" fillId="0" borderId="1" xfId="4" applyNumberFormat="1" applyFont="1" applyFill="1" applyBorder="1" applyAlignment="1">
      <alignment horizontal="center" vertical="top" wrapText="1"/>
    </xf>
    <xf numFmtId="1" fontId="1" fillId="0" borderId="63" xfId="3" applyNumberFormat="1" applyFont="1" applyBorder="1" applyAlignment="1">
      <alignment horizontal="center" vertical="top" wrapText="1"/>
    </xf>
    <xf numFmtId="0" fontId="9" fillId="0" borderId="0" xfId="3" applyFont="1" applyAlignment="1">
      <alignment horizontal="left" vertical="top" wrapText="1"/>
    </xf>
    <xf numFmtId="0" fontId="1" fillId="0" borderId="63" xfId="3" applyFont="1" applyBorder="1" applyAlignment="1">
      <alignment horizontal="center"/>
    </xf>
    <xf numFmtId="170" fontId="1" fillId="0" borderId="1" xfId="4" applyNumberFormat="1" applyFont="1" applyFill="1" applyBorder="1" applyAlignment="1">
      <alignment horizontal="left" vertical="top" wrapText="1"/>
    </xf>
    <xf numFmtId="0" fontId="25" fillId="0" borderId="1" xfId="3" applyFont="1" applyBorder="1" applyAlignment="1">
      <alignment horizontal="left" vertical="top" wrapText="1"/>
    </xf>
    <xf numFmtId="0" fontId="9" fillId="0" borderId="1" xfId="3" applyFont="1" applyBorder="1" applyAlignment="1">
      <alignment horizontal="left" vertical="top" wrapText="1"/>
    </xf>
    <xf numFmtId="0" fontId="1" fillId="9" borderId="1" xfId="3" applyFont="1" applyFill="1" applyBorder="1" applyAlignment="1">
      <alignment vertical="center" wrapText="1"/>
    </xf>
    <xf numFmtId="0" fontId="25" fillId="9" borderId="1" xfId="3" applyFont="1" applyFill="1" applyBorder="1" applyAlignment="1">
      <alignment horizontal="center" vertical="center" wrapText="1"/>
    </xf>
    <xf numFmtId="0" fontId="2" fillId="0" borderId="0" xfId="3" applyFont="1" applyAlignment="1">
      <alignment horizontal="center" vertical="center" wrapText="1"/>
    </xf>
    <xf numFmtId="0" fontId="2" fillId="4" borderId="63" xfId="3" applyFont="1" applyFill="1" applyBorder="1" applyAlignment="1">
      <alignment horizontal="center" vertical="center" wrapText="1"/>
    </xf>
    <xf numFmtId="0" fontId="2" fillId="9" borderId="1" xfId="3" applyFont="1" applyFill="1" applyBorder="1" applyAlignment="1">
      <alignment horizontal="center" vertical="center" wrapText="1"/>
    </xf>
    <xf numFmtId="0" fontId="2" fillId="0" borderId="0" xfId="3" applyFont="1" applyAlignment="1">
      <alignment horizontal="center" vertical="top" wrapText="1"/>
    </xf>
    <xf numFmtId="0" fontId="27" fillId="2" borderId="0" xfId="0" applyFont="1" applyFill="1" applyAlignment="1">
      <alignment horizontal="left" vertical="center"/>
    </xf>
    <xf numFmtId="0" fontId="21" fillId="2" borderId="75" xfId="2" applyFont="1" applyFill="1" applyBorder="1" applyAlignment="1">
      <alignment horizontal="left" vertical="center" wrapText="1"/>
    </xf>
    <xf numFmtId="0" fontId="13" fillId="2" borderId="74" xfId="0" applyFont="1" applyFill="1" applyBorder="1" applyAlignment="1">
      <alignment horizontal="left" vertical="center"/>
    </xf>
    <xf numFmtId="0" fontId="13" fillId="2" borderId="76" xfId="0" applyFont="1" applyFill="1" applyBorder="1"/>
    <xf numFmtId="0" fontId="13" fillId="2" borderId="77" xfId="0" applyFont="1" applyFill="1" applyBorder="1"/>
    <xf numFmtId="0" fontId="13" fillId="2" borderId="78" xfId="0" applyFont="1" applyFill="1" applyBorder="1"/>
    <xf numFmtId="0" fontId="29" fillId="6" borderId="10" xfId="0" applyFont="1" applyFill="1" applyBorder="1" applyAlignment="1">
      <alignment horizontal="left" vertical="center"/>
    </xf>
    <xf numFmtId="0" fontId="13" fillId="2" borderId="0" xfId="0" applyFont="1" applyFill="1" applyAlignment="1">
      <alignment horizontal="left" vertical="top"/>
    </xf>
    <xf numFmtId="0" fontId="13" fillId="0" borderId="0" xfId="0" applyFont="1" applyAlignment="1">
      <alignment horizontal="left" vertical="top"/>
    </xf>
    <xf numFmtId="0" fontId="13" fillId="2" borderId="71" xfId="0" applyFont="1" applyFill="1" applyBorder="1" applyAlignment="1">
      <alignment horizontal="left" vertical="top"/>
    </xf>
    <xf numFmtId="0" fontId="6" fillId="2" borderId="72" xfId="0" applyFont="1" applyFill="1" applyBorder="1" applyAlignment="1">
      <alignment horizontal="left" vertical="top"/>
    </xf>
    <xf numFmtId="0" fontId="30" fillId="2" borderId="73" xfId="0" applyFont="1" applyFill="1" applyBorder="1" applyAlignment="1">
      <alignment horizontal="left" vertical="center"/>
    </xf>
    <xf numFmtId="0" fontId="28" fillId="6" borderId="0" xfId="0" applyFont="1" applyFill="1" applyAlignment="1">
      <alignment vertical="center"/>
    </xf>
    <xf numFmtId="0" fontId="21" fillId="6" borderId="12" xfId="2" applyFont="1" applyFill="1" applyBorder="1" applyAlignment="1">
      <alignment vertical="center"/>
    </xf>
    <xf numFmtId="0" fontId="13" fillId="2" borderId="0" xfId="0" applyFont="1" applyFill="1" applyAlignment="1">
      <alignment vertical="center"/>
    </xf>
    <xf numFmtId="0" fontId="13" fillId="2" borderId="74" xfId="0" applyFont="1" applyFill="1" applyBorder="1" applyAlignment="1">
      <alignment vertical="center"/>
    </xf>
    <xf numFmtId="0" fontId="12" fillId="5" borderId="0" xfId="0" applyFont="1" applyFill="1" applyAlignment="1">
      <alignment horizontal="left"/>
    </xf>
    <xf numFmtId="168" fontId="0" fillId="0" borderId="0" xfId="0" applyNumberFormat="1"/>
    <xf numFmtId="0" fontId="13" fillId="6" borderId="0" xfId="0" applyFont="1" applyFill="1" applyAlignment="1">
      <alignment vertical="top"/>
    </xf>
    <xf numFmtId="0" fontId="12" fillId="5" borderId="0" xfId="0" applyFont="1" applyFill="1" applyAlignment="1">
      <alignment horizontal="left" vertical="top"/>
    </xf>
    <xf numFmtId="0" fontId="13" fillId="0" borderId="0" xfId="0" applyFont="1" applyAlignment="1">
      <alignment vertical="top"/>
    </xf>
    <xf numFmtId="3" fontId="13" fillId="7" borderId="3" xfId="0" applyNumberFormat="1" applyFont="1" applyFill="1" applyBorder="1" applyAlignment="1">
      <alignment vertical="top" wrapText="1"/>
    </xf>
    <xf numFmtId="0" fontId="0" fillId="7" borderId="51" xfId="0" applyFill="1" applyBorder="1"/>
    <xf numFmtId="3" fontId="13" fillId="7" borderId="3" xfId="0" applyNumberFormat="1" applyFont="1" applyFill="1" applyBorder="1"/>
    <xf numFmtId="172" fontId="25" fillId="0" borderId="1" xfId="0" applyNumberFormat="1" applyFont="1" applyBorder="1" applyAlignment="1">
      <alignment horizontal="right" vertical="top"/>
    </xf>
    <xf numFmtId="0" fontId="2" fillId="4" borderId="1" xfId="3" applyFont="1" applyFill="1" applyBorder="1" applyAlignment="1">
      <alignment horizontal="center" vertical="center" wrapText="1"/>
    </xf>
    <xf numFmtId="0" fontId="25" fillId="0" borderId="1" xfId="3" applyFont="1" applyBorder="1"/>
    <xf numFmtId="0" fontId="2" fillId="0" borderId="1" xfId="3" applyFont="1" applyBorder="1" applyAlignment="1">
      <alignment horizontal="left" vertical="top" wrapText="1"/>
    </xf>
    <xf numFmtId="0" fontId="1" fillId="9" borderId="1" xfId="3" applyFont="1" applyFill="1" applyBorder="1" applyAlignment="1">
      <alignment horizontal="center" vertical="center" wrapText="1"/>
    </xf>
    <xf numFmtId="0" fontId="1" fillId="0" borderId="1" xfId="3" applyFont="1" applyBorder="1" applyAlignment="1">
      <alignment wrapText="1"/>
    </xf>
    <xf numFmtId="0" fontId="23" fillId="0" borderId="1" xfId="0" applyFont="1" applyBorder="1" applyAlignment="1">
      <alignment horizontal="center" vertical="top" wrapText="1"/>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166" fontId="23" fillId="0" borderId="1" xfId="0" applyNumberFormat="1" applyFont="1" applyBorder="1" applyAlignment="1">
      <alignment horizontal="center" vertical="center" wrapText="1"/>
    </xf>
    <xf numFmtId="0" fontId="23" fillId="10" borderId="1" xfId="0" applyFont="1" applyFill="1" applyBorder="1" applyAlignment="1">
      <alignment horizontal="center" vertical="top" wrapText="1"/>
    </xf>
    <xf numFmtId="0" fontId="23" fillId="10" borderId="1" xfId="0" applyFont="1" applyFill="1" applyBorder="1" applyAlignment="1">
      <alignment horizontal="left" vertical="top" wrapText="1"/>
    </xf>
    <xf numFmtId="166" fontId="23" fillId="10" borderId="1" xfId="0" applyNumberFormat="1" applyFont="1" applyFill="1" applyBorder="1" applyAlignment="1">
      <alignment horizontal="center" vertical="top" wrapText="1"/>
    </xf>
    <xf numFmtId="0" fontId="23" fillId="10" borderId="57" xfId="0" applyFont="1" applyFill="1" applyBorder="1" applyAlignment="1">
      <alignment horizontal="left" vertical="top" wrapText="1"/>
    </xf>
    <xf numFmtId="166" fontId="23" fillId="10" borderId="57" xfId="0" applyNumberFormat="1" applyFont="1" applyFill="1" applyBorder="1" applyAlignment="1">
      <alignment horizontal="center" vertical="top" wrapText="1"/>
    </xf>
    <xf numFmtId="17" fontId="0" fillId="0" borderId="1" xfId="0" applyNumberFormat="1" applyBorder="1" applyAlignment="1">
      <alignment horizontal="center" vertical="top"/>
    </xf>
    <xf numFmtId="0" fontId="24" fillId="10" borderId="1" xfId="3" applyFill="1" applyBorder="1" applyAlignment="1">
      <alignment horizontal="left" vertical="top" wrapText="1"/>
    </xf>
    <xf numFmtId="0" fontId="24" fillId="10" borderId="1" xfId="3" applyFill="1" applyBorder="1" applyAlignment="1">
      <alignment vertical="top" wrapText="1"/>
    </xf>
    <xf numFmtId="0" fontId="0" fillId="10" borderId="1" xfId="0" applyFill="1" applyBorder="1" applyAlignment="1">
      <alignment horizontal="center" vertical="top" wrapText="1"/>
    </xf>
    <xf numFmtId="0" fontId="1" fillId="0" borderId="1" xfId="3" applyFont="1" applyBorder="1" applyAlignment="1">
      <alignment horizontal="left" vertical="top"/>
    </xf>
    <xf numFmtId="0" fontId="0" fillId="0" borderId="1" xfId="3" applyFont="1" applyBorder="1" applyAlignment="1">
      <alignment horizontal="left" vertical="top" wrapText="1"/>
    </xf>
    <xf numFmtId="0" fontId="0" fillId="0" borderId="0" xfId="0" applyAlignment="1">
      <alignment horizontal="left" vertical="top" wrapText="1"/>
    </xf>
    <xf numFmtId="165" fontId="0" fillId="0" borderId="1" xfId="1" applyNumberFormat="1" applyFont="1" applyFill="1" applyBorder="1" applyAlignment="1">
      <alignment horizontal="left" vertical="top" wrapText="1"/>
    </xf>
    <xf numFmtId="0" fontId="11" fillId="6" borderId="0" xfId="0" applyFont="1" applyFill="1" applyAlignment="1">
      <alignment horizontal="center" vertical="top" wrapText="1"/>
    </xf>
    <xf numFmtId="0" fontId="15" fillId="6" borderId="0" xfId="0" applyFont="1" applyFill="1" applyAlignment="1">
      <alignment horizontal="center" vertical="top" wrapText="1"/>
    </xf>
    <xf numFmtId="173" fontId="13" fillId="8" borderId="3" xfId="0" applyNumberFormat="1" applyFont="1" applyFill="1" applyBorder="1" applyAlignment="1">
      <alignment vertical="top"/>
    </xf>
    <xf numFmtId="0" fontId="9" fillId="6" borderId="0" xfId="0" applyFont="1" applyFill="1" applyAlignment="1">
      <alignment vertical="top"/>
    </xf>
    <xf numFmtId="164" fontId="6" fillId="8" borderId="0" xfId="0" applyNumberFormat="1" applyFont="1" applyFill="1" applyAlignment="1">
      <alignment vertical="top"/>
    </xf>
    <xf numFmtId="164" fontId="13" fillId="8" borderId="80" xfId="0" applyNumberFormat="1" applyFont="1" applyFill="1" applyBorder="1" applyAlignment="1">
      <alignment vertical="top"/>
    </xf>
    <xf numFmtId="0" fontId="10" fillId="5" borderId="0" xfId="0" applyFont="1" applyFill="1" applyAlignment="1">
      <alignment horizontal="left" vertical="top" wrapText="1"/>
    </xf>
    <xf numFmtId="0" fontId="10" fillId="5" borderId="0" xfId="0" applyFont="1" applyFill="1" applyAlignment="1">
      <alignment vertical="top" wrapText="1"/>
    </xf>
    <xf numFmtId="0" fontId="6" fillId="8" borderId="6" xfId="0" applyFont="1" applyFill="1" applyBorder="1" applyAlignment="1">
      <alignment horizontal="center" vertical="top" wrapText="1"/>
    </xf>
    <xf numFmtId="164" fontId="6" fillId="8" borderId="3" xfId="0" applyNumberFormat="1" applyFont="1" applyFill="1" applyBorder="1" applyAlignment="1">
      <alignment vertical="top" wrapText="1"/>
    </xf>
    <xf numFmtId="0" fontId="22" fillId="0" borderId="0" xfId="0" applyFont="1"/>
    <xf numFmtId="0" fontId="22" fillId="0" borderId="1" xfId="0" applyFont="1" applyBorder="1" applyAlignment="1">
      <alignment horizontal="center" vertical="center" wrapText="1"/>
    </xf>
    <xf numFmtId="49" fontId="22" fillId="0" borderId="1" xfId="0" applyNumberFormat="1" applyFont="1" applyBorder="1" applyAlignment="1">
      <alignment horizontal="center" vertical="center" wrapText="1"/>
    </xf>
    <xf numFmtId="0" fontId="22" fillId="11" borderId="1" xfId="0" applyFont="1" applyFill="1" applyBorder="1" applyAlignment="1">
      <alignment horizontal="center" vertical="center" wrapText="1"/>
    </xf>
    <xf numFmtId="49" fontId="22" fillId="0" borderId="0" xfId="0" applyNumberFormat="1" applyFont="1"/>
    <xf numFmtId="0" fontId="0" fillId="12" borderId="0" xfId="0" applyFill="1"/>
    <xf numFmtId="0" fontId="13" fillId="12" borderId="0" xfId="0" applyFont="1" applyFill="1"/>
    <xf numFmtId="0" fontId="13" fillId="12" borderId="0" xfId="0" applyFont="1" applyFill="1" applyAlignment="1">
      <alignment horizontal="left" vertical="top" wrapText="1"/>
    </xf>
    <xf numFmtId="164" fontId="13" fillId="12" borderId="0" xfId="0" applyNumberFormat="1" applyFont="1" applyFill="1"/>
    <xf numFmtId="164" fontId="22" fillId="11" borderId="1" xfId="0" applyNumberFormat="1" applyFont="1" applyFill="1" applyBorder="1" applyAlignment="1">
      <alignment horizontal="center" vertical="center" wrapText="1"/>
    </xf>
    <xf numFmtId="0" fontId="12" fillId="5" borderId="0" xfId="0" applyFont="1" applyFill="1" applyAlignment="1">
      <alignment horizontal="center" vertical="top" wrapText="1"/>
    </xf>
    <xf numFmtId="0" fontId="12" fillId="5" borderId="0" xfId="0" applyFont="1" applyFill="1" applyAlignment="1">
      <alignment horizontal="left" vertical="center" wrapText="1"/>
    </xf>
    <xf numFmtId="174" fontId="13" fillId="12" borderId="0" xfId="0" applyNumberFormat="1" applyFont="1" applyFill="1"/>
    <xf numFmtId="174" fontId="6" fillId="12" borderId="0" xfId="0" applyNumberFormat="1" applyFont="1" applyFill="1"/>
    <xf numFmtId="0" fontId="6" fillId="12" borderId="0" xfId="0" applyFont="1" applyFill="1" applyAlignment="1">
      <alignment horizontal="left" vertical="top" wrapText="1"/>
    </xf>
    <xf numFmtId="0" fontId="6" fillId="12" borderId="0" xfId="0" applyFont="1" applyFill="1"/>
    <xf numFmtId="164" fontId="13" fillId="0" borderId="0" xfId="0" applyNumberFormat="1" applyFont="1"/>
    <xf numFmtId="174" fontId="31" fillId="12" borderId="0" xfId="0" applyNumberFormat="1" applyFont="1" applyFill="1"/>
    <xf numFmtId="174" fontId="32" fillId="12" borderId="0" xfId="0" applyNumberFormat="1" applyFont="1" applyFill="1"/>
    <xf numFmtId="174" fontId="18" fillId="12" borderId="0" xfId="0" applyNumberFormat="1" applyFont="1" applyFill="1"/>
    <xf numFmtId="0" fontId="12" fillId="5" borderId="24" xfId="0" applyFont="1" applyFill="1" applyBorder="1" applyAlignment="1">
      <alignment horizontal="left" vertical="top" wrapText="1"/>
    </xf>
    <xf numFmtId="0" fontId="12" fillId="5" borderId="30" xfId="0" applyFont="1" applyFill="1" applyBorder="1" applyAlignment="1">
      <alignment vertical="top" wrapText="1"/>
    </xf>
    <xf numFmtId="0" fontId="12" fillId="5" borderId="32" xfId="0" applyFont="1" applyFill="1" applyBorder="1" applyAlignment="1">
      <alignment vertical="top" wrapText="1"/>
    </xf>
    <xf numFmtId="0" fontId="12" fillId="5" borderId="81" xfId="0" applyFont="1" applyFill="1" applyBorder="1" applyAlignment="1">
      <alignment horizontal="left" vertical="top" wrapText="1"/>
    </xf>
    <xf numFmtId="0" fontId="12" fillId="5" borderId="82" xfId="0" applyFont="1" applyFill="1" applyBorder="1" applyAlignment="1">
      <alignment horizontal="left" vertical="top" wrapText="1"/>
    </xf>
    <xf numFmtId="0" fontId="12" fillId="5" borderId="83" xfId="0" applyFont="1" applyFill="1" applyBorder="1" applyAlignment="1">
      <alignment horizontal="left" vertical="top" wrapText="1"/>
    </xf>
    <xf numFmtId="0" fontId="12" fillId="5" borderId="14" xfId="0" applyFont="1" applyFill="1" applyBorder="1"/>
    <xf numFmtId="0" fontId="13" fillId="7" borderId="20" xfId="0" applyFont="1" applyFill="1" applyBorder="1" applyAlignment="1">
      <alignment wrapText="1"/>
    </xf>
    <xf numFmtId="0" fontId="2" fillId="12" borderId="0" xfId="0" applyFont="1" applyFill="1"/>
    <xf numFmtId="164" fontId="13" fillId="12" borderId="0" xfId="0" applyNumberFormat="1" applyFont="1" applyFill="1" applyAlignment="1">
      <alignment horizontal="left" vertical="top" wrapText="1"/>
    </xf>
    <xf numFmtId="0" fontId="13" fillId="12" borderId="0" xfId="0" applyFont="1" applyFill="1" applyAlignment="1">
      <alignment vertical="center"/>
    </xf>
    <xf numFmtId="174" fontId="31" fillId="12" borderId="0" xfId="0" applyNumberFormat="1" applyFont="1" applyFill="1" applyAlignment="1">
      <alignment horizontal="center"/>
    </xf>
    <xf numFmtId="174" fontId="32" fillId="12" borderId="0" xfId="0" applyNumberFormat="1" applyFont="1" applyFill="1" applyAlignment="1">
      <alignment horizontal="center"/>
    </xf>
    <xf numFmtId="174" fontId="18" fillId="12" borderId="0" xfId="0" applyNumberFormat="1" applyFont="1" applyFill="1" applyAlignment="1">
      <alignment horizontal="center" vertical="top" wrapText="1"/>
    </xf>
    <xf numFmtId="174" fontId="18" fillId="12" borderId="0" xfId="0" applyNumberFormat="1" applyFont="1" applyFill="1" applyAlignment="1">
      <alignment horizontal="center"/>
    </xf>
    <xf numFmtId="0" fontId="32" fillId="12" borderId="0" xfId="0" applyFont="1" applyFill="1" applyAlignment="1">
      <alignment horizontal="left" vertical="top" wrapText="1"/>
    </xf>
    <xf numFmtId="0" fontId="32" fillId="12" borderId="0" xfId="0" applyFont="1" applyFill="1"/>
    <xf numFmtId="0" fontId="25" fillId="12" borderId="0" xfId="0" applyFont="1" applyFill="1"/>
    <xf numFmtId="0" fontId="33" fillId="12" borderId="0" xfId="0" applyFont="1" applyFill="1"/>
    <xf numFmtId="0" fontId="18" fillId="12" borderId="0" xfId="0" applyFont="1" applyFill="1" applyAlignment="1">
      <alignment horizontal="left" vertical="top" wrapText="1"/>
    </xf>
    <xf numFmtId="0" fontId="22" fillId="0" borderId="1" xfId="0" applyFont="1" applyBorder="1" applyAlignment="1">
      <alignment horizontal="justify" vertical="center" wrapText="1"/>
    </xf>
    <xf numFmtId="164" fontId="22" fillId="10" borderId="1" xfId="0" applyNumberFormat="1" applyFont="1" applyFill="1" applyBorder="1" applyAlignment="1">
      <alignment horizontal="justify" vertical="center" wrapText="1"/>
    </xf>
    <xf numFmtId="0" fontId="13" fillId="8" borderId="4" xfId="0" applyFont="1" applyFill="1" applyBorder="1" applyAlignment="1">
      <alignment vertical="center" wrapText="1"/>
    </xf>
    <xf numFmtId="0" fontId="13" fillId="7" borderId="89" xfId="0" applyFont="1" applyFill="1" applyBorder="1" applyAlignment="1">
      <alignment vertical="center" wrapText="1"/>
    </xf>
    <xf numFmtId="0" fontId="12" fillId="5" borderId="27" xfId="0" applyFont="1" applyFill="1" applyBorder="1" applyAlignment="1">
      <alignment horizontal="left" vertical="center" wrapText="1"/>
    </xf>
    <xf numFmtId="49" fontId="12" fillId="5" borderId="0" xfId="0" applyNumberFormat="1" applyFont="1" applyFill="1" applyAlignment="1">
      <alignment horizontal="center" vertical="center" wrapText="1"/>
    </xf>
    <xf numFmtId="0" fontId="13" fillId="10" borderId="33" xfId="0" applyFont="1" applyFill="1" applyBorder="1" applyAlignment="1">
      <alignment horizontal="center" vertical="center" wrapText="1"/>
    </xf>
    <xf numFmtId="0" fontId="13" fillId="10" borderId="34" xfId="0" applyFont="1" applyFill="1" applyBorder="1" applyAlignment="1">
      <alignment vertical="center" wrapText="1"/>
    </xf>
    <xf numFmtId="0" fontId="13" fillId="10" borderId="35" xfId="0" applyFont="1" applyFill="1" applyBorder="1" applyAlignment="1">
      <alignment vertical="center" wrapText="1"/>
    </xf>
    <xf numFmtId="0" fontId="13" fillId="10" borderId="3" xfId="0" applyFont="1" applyFill="1" applyBorder="1" applyAlignment="1">
      <alignment vertical="center" wrapText="1"/>
    </xf>
    <xf numFmtId="0" fontId="13" fillId="10" borderId="37" xfId="0" applyFont="1" applyFill="1" applyBorder="1" applyAlignment="1">
      <alignment vertical="center" wrapText="1"/>
    </xf>
    <xf numFmtId="0" fontId="32" fillId="10" borderId="36" xfId="0" applyFont="1" applyFill="1" applyBorder="1" applyAlignment="1">
      <alignment horizontal="center" vertical="center" wrapText="1"/>
    </xf>
    <xf numFmtId="175" fontId="32" fillId="10" borderId="36" xfId="0" applyNumberFormat="1" applyFont="1" applyFill="1" applyBorder="1" applyAlignment="1">
      <alignment horizontal="center" vertical="center" wrapText="1"/>
    </xf>
    <xf numFmtId="0" fontId="13" fillId="7" borderId="3" xfId="0" applyFont="1" applyFill="1" applyBorder="1" applyAlignment="1">
      <alignment horizontal="center" vertical="top" wrapText="1"/>
    </xf>
    <xf numFmtId="0" fontId="12" fillId="5" borderId="0" xfId="0" applyFont="1" applyFill="1" applyAlignment="1">
      <alignment horizontal="left" vertical="center" wrapText="1"/>
    </xf>
    <xf numFmtId="0" fontId="12" fillId="5" borderId="27" xfId="0" applyFont="1" applyFill="1" applyBorder="1" applyAlignment="1">
      <alignment horizontal="left" vertical="center" wrapText="1"/>
    </xf>
    <xf numFmtId="0" fontId="12" fillId="5" borderId="0" xfId="0" applyFont="1" applyFill="1" applyAlignment="1">
      <alignment horizontal="center" vertical="center" wrapText="1"/>
    </xf>
    <xf numFmtId="0" fontId="11" fillId="6" borderId="0" xfId="0" applyFont="1" applyFill="1" applyAlignment="1">
      <alignment horizontal="center" vertical="top" wrapText="1"/>
    </xf>
    <xf numFmtId="0" fontId="34" fillId="10" borderId="90" xfId="0" applyFont="1" applyFill="1" applyBorder="1" applyAlignment="1">
      <alignment horizontal="left" vertical="center" wrapText="1"/>
    </xf>
    <xf numFmtId="0" fontId="34" fillId="10" borderId="91" xfId="0" applyFont="1" applyFill="1" applyBorder="1" applyAlignment="1">
      <alignment horizontal="left" vertical="center" wrapText="1"/>
    </xf>
    <xf numFmtId="0" fontId="34" fillId="10" borderId="92" xfId="0" applyFont="1" applyFill="1" applyBorder="1" applyAlignment="1">
      <alignment horizontal="left" vertical="center" wrapText="1"/>
    </xf>
    <xf numFmtId="0" fontId="12" fillId="5" borderId="0" xfId="0" applyFont="1" applyFill="1" applyAlignment="1">
      <alignment horizontal="left" vertical="top" wrapText="1"/>
    </xf>
    <xf numFmtId="0" fontId="12" fillId="5" borderId="7" xfId="0" applyFont="1" applyFill="1" applyBorder="1" applyAlignment="1">
      <alignment horizontal="left" vertical="top" wrapText="1"/>
    </xf>
    <xf numFmtId="0" fontId="12" fillId="5" borderId="0" xfId="0" applyFont="1" applyFill="1" applyAlignment="1">
      <alignment horizontal="center" vertical="top" wrapText="1"/>
    </xf>
    <xf numFmtId="0" fontId="20" fillId="7" borderId="3" xfId="2" applyFill="1" applyBorder="1" applyAlignment="1">
      <alignment horizontal="center" vertical="top" wrapText="1"/>
    </xf>
    <xf numFmtId="0" fontId="13" fillId="7" borderId="3" xfId="0" applyFont="1" applyFill="1" applyBorder="1" applyAlignment="1">
      <alignment horizontal="center" vertical="top" wrapText="1"/>
    </xf>
    <xf numFmtId="0" fontId="13" fillId="7" borderId="41" xfId="0" applyFont="1" applyFill="1" applyBorder="1" applyAlignment="1">
      <alignment horizontal="left" vertical="top" wrapText="1"/>
    </xf>
    <xf numFmtId="0" fontId="13" fillId="7" borderId="38" xfId="0" applyFont="1" applyFill="1" applyBorder="1" applyAlignment="1">
      <alignment horizontal="left" vertical="top" wrapText="1"/>
    </xf>
    <xf numFmtId="0" fontId="13" fillId="7" borderId="39" xfId="0" applyFont="1" applyFill="1" applyBorder="1" applyAlignment="1">
      <alignment horizontal="left" vertical="top" wrapText="1"/>
    </xf>
    <xf numFmtId="0" fontId="13" fillId="7" borderId="42" xfId="0" applyFont="1" applyFill="1" applyBorder="1" applyAlignment="1">
      <alignment horizontal="left" vertical="top" wrapText="1"/>
    </xf>
    <xf numFmtId="0" fontId="13" fillId="7" borderId="0" xfId="0" applyFont="1" applyFill="1" applyAlignment="1">
      <alignment horizontal="left" vertical="top" wrapText="1"/>
    </xf>
    <xf numFmtId="0" fontId="13" fillId="7" borderId="43" xfId="0" applyFont="1" applyFill="1" applyBorder="1" applyAlignment="1">
      <alignment horizontal="left" vertical="top" wrapText="1"/>
    </xf>
    <xf numFmtId="0" fontId="13" fillId="7" borderId="44" xfId="0" applyFont="1" applyFill="1" applyBorder="1" applyAlignment="1">
      <alignment horizontal="left" vertical="top" wrapText="1"/>
    </xf>
    <xf numFmtId="0" fontId="13" fillId="7" borderId="7" xfId="0" applyFont="1" applyFill="1" applyBorder="1" applyAlignment="1">
      <alignment horizontal="left" vertical="top" wrapText="1"/>
    </xf>
    <xf numFmtId="0" fontId="13" fillId="7" borderId="5" xfId="0" applyFont="1" applyFill="1" applyBorder="1" applyAlignment="1">
      <alignment horizontal="left" vertical="top" wrapText="1"/>
    </xf>
    <xf numFmtId="0" fontId="13" fillId="7" borderId="3" xfId="0" applyFont="1" applyFill="1" applyBorder="1" applyAlignment="1">
      <alignment horizontal="center" wrapText="1"/>
    </xf>
    <xf numFmtId="0" fontId="16" fillId="6" borderId="0" xfId="0" applyFont="1" applyFill="1" applyAlignment="1">
      <alignment horizontal="left" vertical="top" wrapText="1"/>
    </xf>
    <xf numFmtId="0" fontId="10" fillId="5" borderId="0" xfId="0" applyFont="1" applyFill="1" applyAlignment="1">
      <alignment horizontal="left" vertical="center"/>
    </xf>
    <xf numFmtId="0" fontId="13" fillId="7" borderId="0" xfId="0" applyFont="1" applyFill="1" applyAlignment="1">
      <alignment horizontal="left" vertical="top"/>
    </xf>
    <xf numFmtId="0" fontId="12" fillId="5" borderId="0" xfId="0" applyFont="1" applyFill="1" applyAlignment="1">
      <alignment horizontal="left" vertical="center"/>
    </xf>
    <xf numFmtId="0" fontId="10" fillId="5" borderId="0" xfId="0" applyFont="1" applyFill="1" applyAlignment="1">
      <alignment horizontal="center" vertical="center" wrapText="1"/>
    </xf>
    <xf numFmtId="164" fontId="13" fillId="8" borderId="0" xfId="0" applyNumberFormat="1" applyFont="1" applyFill="1" applyAlignment="1">
      <alignment horizontal="left" vertical="center"/>
    </xf>
    <xf numFmtId="164" fontId="6" fillId="8" borderId="0" xfId="0" applyNumberFormat="1" applyFont="1" applyFill="1" applyAlignment="1">
      <alignment horizontal="left" vertical="center"/>
    </xf>
    <xf numFmtId="0" fontId="12" fillId="5" borderId="30"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2" fillId="5" borderId="24" xfId="0" applyFont="1" applyFill="1" applyBorder="1" applyAlignment="1">
      <alignment horizontal="left" vertical="top" wrapText="1"/>
    </xf>
    <xf numFmtId="0" fontId="12" fillId="5" borderId="23" xfId="0" applyFont="1" applyFill="1" applyBorder="1" applyAlignment="1">
      <alignment horizontal="left" vertical="top" wrapText="1"/>
    </xf>
    <xf numFmtId="164" fontId="13" fillId="7" borderId="16" xfId="1" applyFont="1" applyFill="1" applyBorder="1" applyAlignment="1">
      <alignment horizontal="center"/>
    </xf>
    <xf numFmtId="164" fontId="13" fillId="7" borderId="87" xfId="1" applyFont="1" applyFill="1" applyBorder="1" applyAlignment="1">
      <alignment horizontal="center"/>
    </xf>
    <xf numFmtId="164" fontId="13" fillId="7" borderId="25" xfId="1" applyFont="1" applyFill="1" applyBorder="1" applyAlignment="1">
      <alignment horizontal="center"/>
    </xf>
    <xf numFmtId="164" fontId="13" fillId="7" borderId="88" xfId="1" applyFont="1" applyFill="1" applyBorder="1" applyAlignment="1">
      <alignment horizontal="center"/>
    </xf>
    <xf numFmtId="0" fontId="13" fillId="7" borderId="0" xfId="0" applyFont="1" applyFill="1" applyAlignment="1">
      <alignment horizontal="center" vertical="center"/>
    </xf>
    <xf numFmtId="0" fontId="10" fillId="5" borderId="0" xfId="0" applyFont="1" applyFill="1" applyAlignment="1">
      <alignment horizontal="left" vertical="center" wrapText="1"/>
    </xf>
    <xf numFmtId="0" fontId="12" fillId="5" borderId="27" xfId="0" applyFont="1" applyFill="1" applyBorder="1" applyAlignment="1">
      <alignment horizontal="left" vertical="top" wrapText="1"/>
    </xf>
    <xf numFmtId="0" fontId="12" fillId="5" borderId="26" xfId="0" applyFont="1" applyFill="1" applyBorder="1" applyAlignment="1">
      <alignment horizontal="left" vertical="top" wrapText="1"/>
    </xf>
    <xf numFmtId="0" fontId="12" fillId="5" borderId="28" xfId="0" applyFont="1" applyFill="1" applyBorder="1" applyAlignment="1">
      <alignment horizontal="center" vertical="top"/>
    </xf>
    <xf numFmtId="0" fontId="12" fillId="5" borderId="29" xfId="0" applyFont="1" applyFill="1" applyBorder="1" applyAlignment="1">
      <alignment horizontal="center" vertical="top"/>
    </xf>
    <xf numFmtId="0" fontId="12" fillId="5" borderId="85" xfId="0" applyFont="1" applyFill="1" applyBorder="1" applyAlignment="1">
      <alignment horizontal="center" vertical="top"/>
    </xf>
    <xf numFmtId="0" fontId="12" fillId="5" borderId="86" xfId="0" applyFont="1" applyFill="1" applyBorder="1" applyAlignment="1">
      <alignment horizontal="left" vertical="top" wrapText="1"/>
    </xf>
    <xf numFmtId="0" fontId="12" fillId="5" borderId="84" xfId="0" applyFont="1" applyFill="1" applyBorder="1" applyAlignment="1">
      <alignment horizontal="left" vertical="top" wrapText="1"/>
    </xf>
    <xf numFmtId="0" fontId="22" fillId="0" borderId="1" xfId="0" applyFont="1" applyBorder="1" applyAlignment="1">
      <alignment horizontal="right" vertical="center" wrapText="1"/>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 fillId="7" borderId="45" xfId="0" applyFont="1" applyFill="1" applyBorder="1" applyAlignment="1">
      <alignment horizontal="left" vertical="top"/>
    </xf>
    <xf numFmtId="0" fontId="2" fillId="7" borderId="46" xfId="0" applyFont="1" applyFill="1" applyBorder="1" applyAlignment="1">
      <alignment horizontal="left" vertical="top"/>
    </xf>
    <xf numFmtId="0" fontId="2" fillId="7" borderId="56" xfId="0" applyFont="1" applyFill="1" applyBorder="1" applyAlignment="1">
      <alignment horizontal="left" vertical="top"/>
    </xf>
    <xf numFmtId="0" fontId="16" fillId="0" borderId="0" xfId="0" applyFont="1" applyAlignment="1">
      <alignment horizontal="left" vertical="top" wrapText="1"/>
    </xf>
    <xf numFmtId="0" fontId="2" fillId="7" borderId="48" xfId="0" applyFont="1" applyFill="1" applyBorder="1" applyAlignment="1">
      <alignment horizontal="left" vertical="top"/>
    </xf>
    <xf numFmtId="0" fontId="2" fillId="7" borderId="49" xfId="0" applyFont="1" applyFill="1" applyBorder="1" applyAlignment="1">
      <alignment horizontal="left" vertical="top"/>
    </xf>
    <xf numFmtId="0" fontId="2" fillId="7" borderId="40" xfId="0" applyFont="1" applyFill="1" applyBorder="1" applyAlignment="1">
      <alignment horizontal="left" vertical="top"/>
    </xf>
    <xf numFmtId="0" fontId="2" fillId="7" borderId="51" xfId="0" applyFont="1" applyFill="1" applyBorder="1" applyAlignment="1">
      <alignment horizontal="left" vertical="top"/>
    </xf>
    <xf numFmtId="0" fontId="15" fillId="6" borderId="0" xfId="0" applyFont="1" applyFill="1" applyAlignment="1">
      <alignment horizontal="center" vertical="top" wrapText="1"/>
    </xf>
    <xf numFmtId="0" fontId="12" fillId="5" borderId="2" xfId="0" applyFont="1" applyFill="1" applyBorder="1" applyAlignment="1">
      <alignment horizontal="left" vertical="center" wrapText="1"/>
    </xf>
    <xf numFmtId="0" fontId="12" fillId="5" borderId="2" xfId="0" applyFont="1" applyFill="1" applyBorder="1" applyAlignment="1">
      <alignment horizontal="left" vertical="top" wrapText="1"/>
    </xf>
    <xf numFmtId="0" fontId="35" fillId="6" borderId="0" xfId="0" applyFont="1" applyFill="1" applyAlignment="1">
      <alignment horizontal="left" vertical="top" wrapText="1"/>
    </xf>
    <xf numFmtId="14" fontId="13" fillId="7" borderId="79" xfId="0" applyNumberFormat="1" applyFont="1" applyFill="1" applyBorder="1" applyAlignment="1">
      <alignment horizontal="center" vertical="top" wrapText="1"/>
    </xf>
    <xf numFmtId="14" fontId="13" fillId="7" borderId="0" xfId="0" applyNumberFormat="1" applyFont="1" applyFill="1" applyAlignment="1">
      <alignment horizontal="center" vertical="top" wrapText="1"/>
    </xf>
    <xf numFmtId="0" fontId="13" fillId="7" borderId="79" xfId="0" applyFont="1" applyFill="1" applyBorder="1" applyAlignment="1">
      <alignment horizontal="center" vertical="top" wrapText="1"/>
    </xf>
    <xf numFmtId="0" fontId="13" fillId="7" borderId="0" xfId="0" applyFont="1" applyFill="1" applyAlignment="1">
      <alignment horizontal="center" vertical="top" wrapText="1"/>
    </xf>
    <xf numFmtId="0" fontId="13" fillId="8" borderId="79" xfId="0" applyFont="1" applyFill="1" applyBorder="1" applyAlignment="1">
      <alignment horizontal="center" vertical="top" wrapText="1"/>
    </xf>
    <xf numFmtId="0" fontId="13" fillId="8" borderId="0" xfId="0" applyFont="1" applyFill="1" applyAlignment="1">
      <alignment horizontal="center" vertical="top" wrapText="1"/>
    </xf>
    <xf numFmtId="0" fontId="2" fillId="4" borderId="69" xfId="3" applyFont="1" applyFill="1" applyBorder="1" applyAlignment="1">
      <alignment horizontal="center" vertical="top" wrapText="1"/>
    </xf>
    <xf numFmtId="0" fontId="2" fillId="4" borderId="68" xfId="3" applyFont="1" applyFill="1" applyBorder="1" applyAlignment="1">
      <alignment horizontal="center" vertical="top" wrapText="1"/>
    </xf>
    <xf numFmtId="0" fontId="2" fillId="4" borderId="1" xfId="3" applyFont="1" applyFill="1" applyBorder="1" applyAlignment="1">
      <alignment horizontal="center" vertical="top" wrapText="1"/>
    </xf>
    <xf numFmtId="0" fontId="2" fillId="4" borderId="63" xfId="3" applyFont="1" applyFill="1" applyBorder="1" applyAlignment="1">
      <alignment horizontal="center" vertical="top" wrapText="1"/>
    </xf>
    <xf numFmtId="0" fontId="2" fillId="4" borderId="70" xfId="3" applyFont="1" applyFill="1" applyBorder="1" applyAlignment="1">
      <alignment horizontal="center" vertical="center" wrapText="1"/>
    </xf>
    <xf numFmtId="0" fontId="2" fillId="4" borderId="64" xfId="3" applyFont="1" applyFill="1" applyBorder="1" applyAlignment="1">
      <alignment horizontal="center" vertical="center" wrapText="1"/>
    </xf>
    <xf numFmtId="0" fontId="2" fillId="4" borderId="69" xfId="3" applyFont="1" applyFill="1" applyBorder="1" applyAlignment="1">
      <alignment horizontal="center" vertical="center" wrapText="1"/>
    </xf>
    <xf numFmtId="0" fontId="2" fillId="4" borderId="1" xfId="3" applyFont="1" applyFill="1" applyBorder="1" applyAlignment="1">
      <alignment horizontal="center" vertical="center" wrapText="1"/>
    </xf>
    <xf numFmtId="0" fontId="2" fillId="9" borderId="69" xfId="3" applyFont="1" applyFill="1" applyBorder="1" applyAlignment="1">
      <alignment horizontal="center" vertical="top" wrapText="1"/>
    </xf>
    <xf numFmtId="0" fontId="2" fillId="9" borderId="1" xfId="3" applyFont="1" applyFill="1" applyBorder="1" applyAlignment="1">
      <alignment horizontal="center" vertical="top" wrapText="1"/>
    </xf>
    <xf numFmtId="0" fontId="2" fillId="9" borderId="70" xfId="3" applyFont="1" applyFill="1" applyBorder="1" applyAlignment="1">
      <alignment horizontal="center" vertical="top" wrapText="1"/>
    </xf>
    <xf numFmtId="0" fontId="2" fillId="9" borderId="68" xfId="3" applyFont="1" applyFill="1" applyBorder="1" applyAlignment="1">
      <alignment horizontal="center" vertical="top" wrapText="1"/>
    </xf>
    <xf numFmtId="0" fontId="1" fillId="9" borderId="64" xfId="3" applyFont="1" applyFill="1" applyBorder="1" applyAlignment="1">
      <alignment horizontal="center" vertical="center" wrapText="1"/>
    </xf>
    <xf numFmtId="0" fontId="1" fillId="9" borderId="1" xfId="3" applyFont="1" applyFill="1" applyBorder="1" applyAlignment="1">
      <alignment horizontal="center" vertical="center" wrapText="1"/>
    </xf>
    <xf numFmtId="0" fontId="1" fillId="9" borderId="63" xfId="3" applyFont="1" applyFill="1" applyBorder="1" applyAlignment="1">
      <alignment horizontal="center" vertical="center" wrapText="1"/>
    </xf>
    <xf numFmtId="0" fontId="1" fillId="0" borderId="1" xfId="3" applyFont="1" applyBorder="1" applyAlignment="1">
      <alignment horizontal="left" vertical="top" wrapText="1"/>
    </xf>
    <xf numFmtId="0" fontId="1" fillId="0" borderId="64" xfId="3" applyFont="1" applyBorder="1" applyAlignment="1">
      <alignment horizontal="center" vertical="top" wrapText="1"/>
    </xf>
    <xf numFmtId="0" fontId="2" fillId="0" borderId="1" xfId="3" applyFont="1" applyBorder="1" applyAlignment="1">
      <alignment horizontal="left" vertical="top" wrapText="1"/>
    </xf>
    <xf numFmtId="0" fontId="2" fillId="0" borderId="1" xfId="3" applyFont="1" applyBorder="1" applyAlignment="1">
      <alignment horizontal="center" vertical="top" wrapText="1"/>
    </xf>
    <xf numFmtId="0" fontId="1" fillId="0" borderId="1" xfId="3" applyFont="1" applyBorder="1" applyAlignment="1">
      <alignment vertical="top" wrapText="1"/>
    </xf>
    <xf numFmtId="0" fontId="1" fillId="0" borderId="67" xfId="3" applyFont="1" applyBorder="1" applyAlignment="1">
      <alignment horizontal="center" vertical="top" wrapText="1"/>
    </xf>
    <xf numFmtId="0" fontId="1" fillId="0" borderId="66" xfId="3" applyFont="1" applyBorder="1" applyAlignment="1">
      <alignment horizontal="center" vertical="top" wrapText="1"/>
    </xf>
    <xf numFmtId="0" fontId="1" fillId="0" borderId="65" xfId="3" applyFont="1" applyBorder="1" applyAlignment="1">
      <alignment horizontal="center" vertical="top" wrapText="1"/>
    </xf>
    <xf numFmtId="0" fontId="2" fillId="0" borderId="57" xfId="3" applyFont="1" applyBorder="1" applyAlignment="1">
      <alignment horizontal="left" vertical="top" wrapText="1"/>
    </xf>
    <xf numFmtId="0" fontId="2" fillId="0" borderId="58" xfId="3" applyFont="1" applyBorder="1" applyAlignment="1">
      <alignment horizontal="left" vertical="top" wrapText="1"/>
    </xf>
    <xf numFmtId="0" fontId="2" fillId="0" borderId="59" xfId="3" applyFont="1" applyBorder="1" applyAlignment="1">
      <alignment horizontal="left" vertical="top" wrapText="1"/>
    </xf>
    <xf numFmtId="0" fontId="1" fillId="0" borderId="57" xfId="3" applyFont="1" applyBorder="1" applyAlignment="1">
      <alignment horizontal="left" vertical="top" wrapText="1"/>
    </xf>
    <xf numFmtId="0" fontId="1" fillId="0" borderId="58" xfId="3" applyFont="1" applyBorder="1" applyAlignment="1">
      <alignment horizontal="left" vertical="top" wrapText="1"/>
    </xf>
    <xf numFmtId="0" fontId="1" fillId="0" borderId="59" xfId="3" applyFont="1" applyBorder="1" applyAlignment="1">
      <alignment horizontal="left" vertical="top" wrapText="1"/>
    </xf>
    <xf numFmtId="0" fontId="1" fillId="0" borderId="1" xfId="3" applyFont="1" applyBorder="1" applyAlignment="1">
      <alignment horizontal="left" vertical="top"/>
    </xf>
    <xf numFmtId="0" fontId="1" fillId="0" borderId="57" xfId="3" applyFont="1" applyBorder="1" applyAlignment="1">
      <alignment horizontal="center" vertical="top" wrapText="1"/>
    </xf>
    <xf numFmtId="0" fontId="1" fillId="0" borderId="58" xfId="3" applyFont="1" applyBorder="1" applyAlignment="1">
      <alignment horizontal="center" vertical="top" wrapText="1"/>
    </xf>
    <xf numFmtId="0" fontId="1" fillId="0" borderId="59" xfId="3" applyFont="1" applyBorder="1" applyAlignment="1">
      <alignment horizontal="center" vertical="top" wrapText="1"/>
    </xf>
    <xf numFmtId="0" fontId="25" fillId="0" borderId="1" xfId="3" applyFont="1" applyBorder="1"/>
    <xf numFmtId="0" fontId="1" fillId="0" borderId="57" xfId="3" applyFont="1" applyBorder="1" applyAlignment="1">
      <alignment horizontal="left" vertical="top"/>
    </xf>
    <xf numFmtId="0" fontId="1" fillId="0" borderId="58" xfId="3" applyFont="1" applyBorder="1" applyAlignment="1">
      <alignment horizontal="left" vertical="top"/>
    </xf>
    <xf numFmtId="0" fontId="1" fillId="0" borderId="59" xfId="3" applyFont="1" applyBorder="1" applyAlignment="1">
      <alignment horizontal="left" vertical="top"/>
    </xf>
    <xf numFmtId="0" fontId="1" fillId="0" borderId="1" xfId="3" applyFont="1" applyBorder="1" applyAlignment="1">
      <alignment wrapText="1"/>
    </xf>
    <xf numFmtId="0" fontId="23" fillId="0" borderId="57" xfId="3" applyFont="1" applyBorder="1" applyAlignment="1">
      <alignment horizontal="left" vertical="top" wrapText="1"/>
    </xf>
    <xf numFmtId="0" fontId="23" fillId="0" borderId="58" xfId="3" applyFont="1" applyBorder="1" applyAlignment="1">
      <alignment horizontal="left" vertical="top" wrapText="1"/>
    </xf>
    <xf numFmtId="0" fontId="23" fillId="0" borderId="59" xfId="3" applyFont="1" applyBorder="1" applyAlignment="1">
      <alignment horizontal="left" vertical="top" wrapText="1"/>
    </xf>
    <xf numFmtId="0" fontId="25" fillId="0" borderId="1" xfId="3" applyFont="1" applyBorder="1" applyAlignment="1">
      <alignment horizontal="left"/>
    </xf>
    <xf numFmtId="0" fontId="0" fillId="0" borderId="1" xfId="3" applyFont="1" applyBorder="1" applyAlignment="1">
      <alignment horizontal="left" vertical="top" wrapText="1"/>
    </xf>
    <xf numFmtId="0" fontId="23" fillId="0" borderId="57" xfId="3" applyFont="1" applyBorder="1" applyAlignment="1">
      <alignment horizontal="center" vertical="top"/>
    </xf>
    <xf numFmtId="0" fontId="23" fillId="0" borderId="58" xfId="3" applyFont="1" applyBorder="1" applyAlignment="1">
      <alignment horizontal="center" vertical="top"/>
    </xf>
    <xf numFmtId="0" fontId="23" fillId="0" borderId="59" xfId="3" applyFont="1" applyBorder="1" applyAlignment="1">
      <alignment horizontal="center" vertical="top"/>
    </xf>
    <xf numFmtId="0" fontId="0" fillId="0" borderId="57" xfId="0" applyBorder="1" applyAlignment="1">
      <alignment horizontal="center" vertical="top" wrapText="1"/>
    </xf>
    <xf numFmtId="0" fontId="0" fillId="0" borderId="58" xfId="0" applyBorder="1" applyAlignment="1">
      <alignment horizontal="center" vertical="top" wrapText="1"/>
    </xf>
    <xf numFmtId="0" fontId="0" fillId="0" borderId="59" xfId="0" applyBorder="1" applyAlignment="1">
      <alignment horizontal="center"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57" xfId="0" applyBorder="1" applyAlignment="1">
      <alignment vertical="top" wrapText="1"/>
    </xf>
    <xf numFmtId="0" fontId="0" fillId="0" borderId="58" xfId="0" applyBorder="1" applyAlignment="1">
      <alignment vertical="top" wrapText="1"/>
    </xf>
    <xf numFmtId="0" fontId="0" fillId="0" borderId="59" xfId="0" applyBorder="1" applyAlignment="1">
      <alignment vertical="top" wrapText="1"/>
    </xf>
    <xf numFmtId="0" fontId="23" fillId="0" borderId="57" xfId="0" applyFont="1" applyBorder="1" applyAlignment="1">
      <alignment horizontal="center" vertical="top" wrapText="1"/>
    </xf>
    <xf numFmtId="0" fontId="23" fillId="0" borderId="58" xfId="0" applyFont="1" applyBorder="1" applyAlignment="1">
      <alignment horizontal="center" vertical="top" wrapText="1"/>
    </xf>
    <xf numFmtId="0" fontId="23" fillId="0" borderId="59" xfId="0" applyFont="1" applyBorder="1" applyAlignment="1">
      <alignment horizontal="center" vertical="top" wrapText="1"/>
    </xf>
    <xf numFmtId="0" fontId="23" fillId="0" borderId="1" xfId="0" applyFont="1" applyBorder="1" applyAlignment="1">
      <alignment horizontal="center" vertical="top" wrapText="1"/>
    </xf>
    <xf numFmtId="0" fontId="23" fillId="0" borderId="1" xfId="0" applyFont="1" applyBorder="1" applyAlignment="1">
      <alignment horizontal="left" vertical="top" wrapText="1"/>
    </xf>
    <xf numFmtId="0" fontId="23" fillId="0" borderId="57" xfId="0" applyFont="1" applyBorder="1" applyAlignment="1">
      <alignment horizontal="left" vertical="top" wrapText="1"/>
    </xf>
    <xf numFmtId="0" fontId="23" fillId="0" borderId="58" xfId="0" applyFont="1" applyBorder="1" applyAlignment="1">
      <alignment horizontal="left" vertical="top" wrapText="1"/>
    </xf>
    <xf numFmtId="0" fontId="23" fillId="0" borderId="59" xfId="0" applyFont="1" applyBorder="1" applyAlignment="1">
      <alignment horizontal="left" vertical="top" wrapText="1"/>
    </xf>
    <xf numFmtId="0" fontId="0" fillId="0" borderId="57" xfId="0" applyBorder="1" applyAlignment="1">
      <alignment horizontal="center" vertical="top"/>
    </xf>
    <xf numFmtId="0" fontId="0" fillId="0" borderId="58" xfId="0" applyBorder="1" applyAlignment="1">
      <alignment horizontal="center" vertical="top"/>
    </xf>
    <xf numFmtId="0" fontId="0" fillId="0" borderId="59" xfId="0" applyBorder="1" applyAlignment="1">
      <alignment horizontal="center" vertical="top"/>
    </xf>
    <xf numFmtId="0" fontId="0" fillId="0" borderId="57" xfId="0" applyBorder="1" applyAlignment="1">
      <alignment horizontal="left" vertical="top"/>
    </xf>
    <xf numFmtId="0" fontId="0" fillId="0" borderId="58" xfId="0" applyBorder="1" applyAlignment="1">
      <alignment horizontal="left" vertical="top"/>
    </xf>
    <xf numFmtId="0" fontId="0" fillId="0" borderId="59" xfId="0" applyBorder="1" applyAlignment="1">
      <alignment horizontal="left" vertical="top"/>
    </xf>
    <xf numFmtId="0" fontId="23" fillId="10" borderId="1" xfId="0" applyFont="1" applyFill="1" applyBorder="1" applyAlignment="1">
      <alignment horizontal="left" vertical="top" wrapText="1"/>
    </xf>
    <xf numFmtId="166" fontId="23" fillId="10" borderId="1" xfId="0" applyNumberFormat="1" applyFont="1" applyFill="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left" vertical="top" wrapText="1"/>
    </xf>
  </cellXfs>
  <cellStyles count="5">
    <cellStyle name="Гиперссылка" xfId="2" builtinId="8"/>
    <cellStyle name="Обычный" xfId="0" builtinId="0"/>
    <cellStyle name="Обычный 2" xfId="3"/>
    <cellStyle name="Финансовый" xfId="1" builtinId="3"/>
    <cellStyle name="Финансовый 2" xfId="4"/>
  </cellStyles>
  <dxfs count="4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s>
  <tableStyles count="0" defaultTableStyle="TableStyleMedium2" defaultPivotStyle="PivotStyleLight16"/>
  <colors>
    <mruColors>
      <color rgb="FF0092AB"/>
      <color rgb="FFDFF3F4"/>
      <color rgb="FFF7F7F7"/>
      <color rgb="FFFFCAB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knd.gov.ru/registry?registryTypes=processingPreciousAzar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E24"/>
  <sheetViews>
    <sheetView zoomScale="98" zoomScaleNormal="98" workbookViewId="0"/>
  </sheetViews>
  <sheetFormatPr defaultColWidth="8.85546875" defaultRowHeight="15.75" x14ac:dyDescent="0.25"/>
  <cols>
    <col min="1" max="1" width="5.7109375" style="37" customWidth="1"/>
    <col min="2" max="2" width="5.140625" style="37" customWidth="1"/>
    <col min="3" max="3" width="7.140625" style="37" customWidth="1"/>
    <col min="4" max="4" width="91.7109375" style="37" customWidth="1"/>
    <col min="5" max="5" width="5.7109375" style="37" customWidth="1"/>
    <col min="6" max="16384" width="8.85546875" style="37"/>
  </cols>
  <sheetData>
    <row r="1" spans="1:5" ht="19.899999999999999" customHeight="1" x14ac:dyDescent="0.25">
      <c r="A1" s="43"/>
      <c r="B1" s="43"/>
      <c r="C1" s="43"/>
      <c r="D1" s="43"/>
      <c r="E1" s="43"/>
    </row>
    <row r="2" spans="1:5" ht="40.15" customHeight="1" x14ac:dyDescent="0.25">
      <c r="A2" s="43"/>
      <c r="B2" s="45"/>
      <c r="C2" s="46"/>
      <c r="D2" s="212" t="s">
        <v>1279</v>
      </c>
      <c r="E2" s="43"/>
    </row>
    <row r="3" spans="1:5" s="91" customFormat="1" ht="19.899999999999999" customHeight="1" x14ac:dyDescent="0.25">
      <c r="A3" s="90"/>
      <c r="B3" s="92"/>
      <c r="C3" s="218" t="s">
        <v>902</v>
      </c>
      <c r="D3" s="219" t="s">
        <v>911</v>
      </c>
      <c r="E3" s="90"/>
    </row>
    <row r="4" spans="1:5" s="91" customFormat="1" ht="19.899999999999999" customHeight="1" x14ac:dyDescent="0.25">
      <c r="A4" s="90"/>
      <c r="B4" s="92"/>
      <c r="C4" s="218" t="s">
        <v>903</v>
      </c>
      <c r="D4" s="219" t="s">
        <v>910</v>
      </c>
      <c r="E4" s="90"/>
    </row>
    <row r="5" spans="1:5" s="91" customFormat="1" ht="19.899999999999999" customHeight="1" x14ac:dyDescent="0.25">
      <c r="A5" s="90"/>
      <c r="B5" s="92"/>
      <c r="C5" s="218" t="s">
        <v>904</v>
      </c>
      <c r="D5" s="219" t="s">
        <v>909</v>
      </c>
      <c r="E5" s="90"/>
    </row>
    <row r="6" spans="1:5" s="91" customFormat="1" ht="19.899999999999999" customHeight="1" x14ac:dyDescent="0.25">
      <c r="A6" s="90"/>
      <c r="B6" s="92"/>
      <c r="C6" s="218" t="s">
        <v>905</v>
      </c>
      <c r="D6" s="219" t="s">
        <v>1177</v>
      </c>
      <c r="E6" s="90"/>
    </row>
    <row r="7" spans="1:5" s="91" customFormat="1" ht="19.899999999999999" customHeight="1" x14ac:dyDescent="0.25">
      <c r="A7" s="90"/>
      <c r="B7" s="92"/>
      <c r="C7" s="218" t="s">
        <v>906</v>
      </c>
      <c r="D7" s="219" t="s">
        <v>908</v>
      </c>
      <c r="E7" s="90"/>
    </row>
    <row r="8" spans="1:5" s="91" customFormat="1" ht="19.899999999999999" customHeight="1" x14ac:dyDescent="0.25">
      <c r="A8" s="90"/>
      <c r="B8" s="92"/>
      <c r="C8" s="218"/>
      <c r="D8" s="219" t="s">
        <v>1277</v>
      </c>
      <c r="E8" s="90"/>
    </row>
    <row r="9" spans="1:5" s="91" customFormat="1" ht="19.899999999999999" customHeight="1" x14ac:dyDescent="0.25">
      <c r="A9" s="90"/>
      <c r="B9" s="92"/>
      <c r="C9" s="218"/>
      <c r="D9" s="219" t="s">
        <v>901</v>
      </c>
      <c r="E9" s="90"/>
    </row>
    <row r="10" spans="1:5" s="91" customFormat="1" ht="19.899999999999999" customHeight="1" x14ac:dyDescent="0.25">
      <c r="A10" s="90"/>
      <c r="B10" s="92"/>
      <c r="C10" s="218"/>
      <c r="D10" s="219" t="s">
        <v>907</v>
      </c>
      <c r="E10" s="90"/>
    </row>
    <row r="11" spans="1:5" ht="19.899999999999999" customHeight="1" x14ac:dyDescent="0.25">
      <c r="A11" s="43"/>
      <c r="B11" s="53"/>
      <c r="C11" s="56"/>
      <c r="D11" s="54"/>
      <c r="E11" s="43"/>
    </row>
    <row r="12" spans="1:5" ht="19.899999999999999" customHeight="1" x14ac:dyDescent="0.25">
      <c r="A12" s="43"/>
      <c r="B12" s="43"/>
      <c r="C12" s="43"/>
      <c r="D12" s="43"/>
      <c r="E12" s="43"/>
    </row>
    <row r="13" spans="1:5" ht="19.899999999999999" hidden="1" customHeight="1" x14ac:dyDescent="0.25">
      <c r="A13" s="166"/>
      <c r="B13" s="166"/>
      <c r="C13" s="166"/>
      <c r="D13" s="166"/>
      <c r="E13" s="166"/>
    </row>
    <row r="14" spans="1:5" s="214" customFormat="1" ht="40.15" hidden="1" customHeight="1" x14ac:dyDescent="0.25">
      <c r="A14" s="213"/>
      <c r="B14" s="215"/>
      <c r="C14" s="216"/>
      <c r="D14" s="217" t="s">
        <v>900</v>
      </c>
      <c r="E14" s="213"/>
    </row>
    <row r="15" spans="1:5" s="91" customFormat="1" ht="19.899999999999999" hidden="1" customHeight="1" x14ac:dyDescent="0.25">
      <c r="A15" s="220"/>
      <c r="B15" s="221"/>
      <c r="C15" s="206" t="s">
        <v>912</v>
      </c>
      <c r="D15" s="207" t="s">
        <v>1138</v>
      </c>
      <c r="E15" s="220"/>
    </row>
    <row r="16" spans="1:5" s="127" customFormat="1" ht="19.899999999999999" hidden="1" customHeight="1" x14ac:dyDescent="0.25">
      <c r="A16" s="167"/>
      <c r="B16" s="208"/>
      <c r="C16" s="206" t="s">
        <v>159</v>
      </c>
      <c r="D16" s="207" t="s">
        <v>913</v>
      </c>
      <c r="E16" s="167"/>
    </row>
    <row r="17" spans="1:5" s="127" customFormat="1" ht="19.899999999999999" hidden="1" customHeight="1" x14ac:dyDescent="0.25">
      <c r="A17" s="167"/>
      <c r="B17" s="208"/>
      <c r="C17" s="206" t="s">
        <v>161</v>
      </c>
      <c r="D17" s="207" t="s">
        <v>914</v>
      </c>
      <c r="E17" s="167"/>
    </row>
    <row r="18" spans="1:5" s="127" customFormat="1" ht="19.899999999999999" hidden="1" customHeight="1" x14ac:dyDescent="0.25">
      <c r="A18" s="167"/>
      <c r="B18" s="208"/>
      <c r="C18" s="206" t="s">
        <v>163</v>
      </c>
      <c r="D18" s="207" t="s">
        <v>915</v>
      </c>
      <c r="E18" s="167"/>
    </row>
    <row r="19" spans="1:5" s="127" customFormat="1" ht="40.15" hidden="1" customHeight="1" x14ac:dyDescent="0.25">
      <c r="A19" s="167"/>
      <c r="B19" s="208"/>
      <c r="C19" s="206" t="s">
        <v>165</v>
      </c>
      <c r="D19" s="207" t="s">
        <v>916</v>
      </c>
      <c r="E19" s="167"/>
    </row>
    <row r="20" spans="1:5" s="127" customFormat="1" ht="19.899999999999999" hidden="1" customHeight="1" x14ac:dyDescent="0.25">
      <c r="A20" s="167"/>
      <c r="B20" s="208"/>
      <c r="C20" s="206" t="s">
        <v>167</v>
      </c>
      <c r="D20" s="207" t="s">
        <v>917</v>
      </c>
      <c r="E20" s="167"/>
    </row>
    <row r="21" spans="1:5" s="127" customFormat="1" ht="40.15" hidden="1" customHeight="1" x14ac:dyDescent="0.25">
      <c r="A21" s="167"/>
      <c r="B21" s="208"/>
      <c r="C21" s="206" t="s">
        <v>169</v>
      </c>
      <c r="D21" s="207" t="s">
        <v>918</v>
      </c>
      <c r="E21" s="167"/>
    </row>
    <row r="22" spans="1:5" s="127" customFormat="1" ht="40.15" hidden="1" customHeight="1" x14ac:dyDescent="0.25">
      <c r="A22" s="167"/>
      <c r="B22" s="208"/>
      <c r="C22" s="206" t="s">
        <v>171</v>
      </c>
      <c r="D22" s="207" t="s">
        <v>919</v>
      </c>
      <c r="E22" s="167"/>
    </row>
    <row r="23" spans="1:5" hidden="1" x14ac:dyDescent="0.25">
      <c r="A23" s="166"/>
      <c r="B23" s="209"/>
      <c r="C23" s="210"/>
      <c r="D23" s="211"/>
      <c r="E23" s="166"/>
    </row>
    <row r="24" spans="1:5" ht="19.899999999999999" hidden="1" customHeight="1" x14ac:dyDescent="0.25">
      <c r="A24" s="166"/>
      <c r="B24" s="166"/>
      <c r="C24" s="166"/>
      <c r="D24" s="166"/>
      <c r="E24" s="166"/>
    </row>
  </sheetData>
  <hyperlinks>
    <hyperlink ref="D16" location="'С1.Типовые операции'!A1" display="Справочник затрат рабочего времени на выполнение типовых операций"/>
    <hyperlink ref="D17" location="'С2.Средняя стоимость часа'!A1" display="Справочник стандартной стоимости часа работы персонала в разрезе видов деятельности "/>
    <hyperlink ref="D18" location="'С3.Оборудование - норматив срок'!A1" display="Справочник по нормативному сроку службы отдельных видов оборудования"/>
    <hyperlink ref="D22" location="'С7.Объекты - кол-во всего'!A1" display="Справочник по количественному составу отдельных групп объектов расчета, применяемому для оценки исполнения обязательных требований"/>
    <hyperlink ref="D20" location="'С5.Оборудование - обслуживание'!A1" display="Справочник стандартных значений частоты обслуживания отдельных видов оборудования"/>
    <hyperlink ref="D21" location="'С6.Работы - цена'!A1" display="Справочник средних цен на отдельные работы (услуги), применяемым для оценки исполнения обязательных требований"/>
    <hyperlink ref="D19" location="'С4.Оборудование - цены'!A1" display="Справочник по средним ценам отдельных видов оборудования, применяемым для оценки исполнения обязательных требований"/>
    <hyperlink ref="D4" location="'Шаг 2. Информационные'!A1" display="Расчет информационных издержек "/>
    <hyperlink ref="D5" location="'Шаг 3. Содержательные'!A1" display="Расчет содержательных издержек "/>
    <hyperlink ref="D6" location="'Шаг 4. Издержки простоя, НП'!A1" display="Расчет издержек простоя и недополученной прибыли"/>
    <hyperlink ref="D7" location="'Шаг 5. Альтернативные'!A1" display="Расчет альтернативных издержек "/>
    <hyperlink ref="D15" location="'С0.Справочник типовых оценок'!A1" display="Типовые оценки (аналогичные требования)"/>
    <hyperlink ref="D8" location="'Сводные результаты оценки'!A1" display="Сводные результаты оценки издержек исполнения ОТ"/>
    <hyperlink ref="D9" location="'Приложение № 1 к св. отчету'!A1" display="Выгрузка таблицы расчетов издержек в Сводный отчет об ОРВ"/>
    <hyperlink ref="D10" location="'Дополнительные расчеты'!A1" display="Отдельные вспомогательные таблицы для дополнительных расчетов"/>
    <hyperlink ref="D3" location="'Шаг 1. Основные исходные данные'!A1" display="Основные исходные данные"/>
  </hyperlinks>
  <pageMargins left="0.7" right="0.7" top="0.75" bottom="0.75" header="0.3" footer="0.3"/>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K46"/>
  <sheetViews>
    <sheetView zoomScale="70" zoomScaleNormal="70" workbookViewId="0"/>
  </sheetViews>
  <sheetFormatPr defaultColWidth="8.85546875" defaultRowHeight="15" x14ac:dyDescent="0.25"/>
  <cols>
    <col min="1" max="1" width="8.85546875" style="14"/>
    <col min="2" max="2" width="5.85546875" style="14" customWidth="1"/>
    <col min="3" max="3" width="50.28515625" style="14" customWidth="1"/>
    <col min="4" max="4" width="13.85546875" style="14" customWidth="1"/>
    <col min="5" max="6" width="26.85546875" style="14" customWidth="1"/>
    <col min="7" max="16384" width="8.85546875" style="14"/>
  </cols>
  <sheetData>
    <row r="1" spans="1:7" x14ac:dyDescent="0.25">
      <c r="A1" s="13"/>
      <c r="B1" s="13"/>
      <c r="C1" s="13"/>
      <c r="D1" s="13"/>
      <c r="E1" s="13"/>
      <c r="F1" s="13"/>
      <c r="G1" s="13"/>
    </row>
    <row r="2" spans="1:7" ht="40.5" customHeight="1" x14ac:dyDescent="0.25">
      <c r="A2" s="13"/>
      <c r="B2" s="322" t="s">
        <v>1287</v>
      </c>
      <c r="C2" s="322"/>
      <c r="D2" s="322"/>
      <c r="E2" s="322"/>
      <c r="F2" s="255"/>
      <c r="G2" s="13"/>
    </row>
    <row r="3" spans="1:7" x14ac:dyDescent="0.25">
      <c r="A3" s="13"/>
      <c r="B3" s="377" t="s">
        <v>1179</v>
      </c>
      <c r="C3" s="377"/>
      <c r="D3" s="377"/>
      <c r="E3" s="377"/>
      <c r="F3" s="256"/>
      <c r="G3" s="13"/>
    </row>
    <row r="4" spans="1:7" x14ac:dyDescent="0.25">
      <c r="A4" s="13"/>
      <c r="B4" s="380" t="s">
        <v>1288</v>
      </c>
      <c r="C4" s="380"/>
      <c r="D4" s="380"/>
      <c r="E4" s="380"/>
      <c r="F4" s="256"/>
      <c r="G4" s="13"/>
    </row>
    <row r="5" spans="1:7" x14ac:dyDescent="0.25">
      <c r="A5" s="13"/>
      <c r="B5" s="19"/>
      <c r="C5" s="15"/>
      <c r="D5" s="13"/>
      <c r="E5" s="13"/>
      <c r="F5" s="13"/>
      <c r="G5" s="13"/>
    </row>
    <row r="6" spans="1:7" ht="19.899999999999999" customHeight="1" x14ac:dyDescent="0.25">
      <c r="A6" s="13"/>
      <c r="B6" s="319" t="s">
        <v>1</v>
      </c>
      <c r="C6" s="378"/>
      <c r="D6" s="381"/>
      <c r="E6" s="382"/>
      <c r="F6" s="382"/>
      <c r="G6" s="13"/>
    </row>
    <row r="7" spans="1:7" ht="10.15" customHeight="1" x14ac:dyDescent="0.25">
      <c r="A7" s="13"/>
      <c r="B7" s="20"/>
      <c r="C7" s="20"/>
      <c r="D7" s="22"/>
      <c r="E7" s="22"/>
      <c r="F7" s="22"/>
      <c r="G7" s="13"/>
    </row>
    <row r="8" spans="1:7" ht="70.900000000000006" customHeight="1" x14ac:dyDescent="0.25">
      <c r="A8" s="13"/>
      <c r="B8" s="326" t="s">
        <v>115</v>
      </c>
      <c r="C8" s="379"/>
      <c r="D8" s="383"/>
      <c r="E8" s="384"/>
      <c r="F8" s="384"/>
      <c r="G8" s="13"/>
    </row>
    <row r="9" spans="1:7" ht="10.15" customHeight="1" x14ac:dyDescent="0.25">
      <c r="A9" s="13"/>
      <c r="B9" s="21"/>
      <c r="C9" s="21"/>
      <c r="D9" s="22"/>
      <c r="E9" s="22"/>
      <c r="F9" s="22"/>
      <c r="G9" s="13"/>
    </row>
    <row r="10" spans="1:7" ht="250.9" customHeight="1" x14ac:dyDescent="0.25">
      <c r="A10" s="13"/>
      <c r="B10" s="326" t="s">
        <v>1276</v>
      </c>
      <c r="C10" s="379"/>
      <c r="D10" s="383"/>
      <c r="E10" s="384"/>
      <c r="F10" s="384"/>
      <c r="G10" s="13"/>
    </row>
    <row r="11" spans="1:7" ht="10.15" customHeight="1" x14ac:dyDescent="0.25">
      <c r="A11" s="13"/>
      <c r="B11" s="20"/>
      <c r="C11" s="20"/>
      <c r="D11" s="22"/>
      <c r="E11" s="22"/>
      <c r="F11" s="22"/>
      <c r="G11" s="13"/>
    </row>
    <row r="12" spans="1:7" ht="19.899999999999999" customHeight="1" x14ac:dyDescent="0.25">
      <c r="A12" s="13"/>
      <c r="B12" s="319" t="s">
        <v>1156</v>
      </c>
      <c r="C12" s="378"/>
      <c r="D12" s="383"/>
      <c r="E12" s="384"/>
      <c r="F12" s="384"/>
      <c r="G12" s="13"/>
    </row>
    <row r="13" spans="1:7" ht="10.15" customHeight="1" x14ac:dyDescent="0.25">
      <c r="A13" s="13"/>
      <c r="B13" s="20"/>
      <c r="C13" s="20"/>
      <c r="D13" s="22"/>
      <c r="E13" s="22"/>
      <c r="F13" s="22"/>
      <c r="G13" s="13"/>
    </row>
    <row r="14" spans="1:7" ht="19.899999999999999" customHeight="1" x14ac:dyDescent="0.25">
      <c r="A14" s="13"/>
      <c r="B14" s="319" t="s">
        <v>1278</v>
      </c>
      <c r="C14" s="378"/>
      <c r="D14" s="383"/>
      <c r="E14" s="384"/>
      <c r="F14" s="384"/>
      <c r="G14" s="13"/>
    </row>
    <row r="15" spans="1:7" ht="10.15" customHeight="1" x14ac:dyDescent="0.25">
      <c r="A15" s="13"/>
      <c r="B15" s="23"/>
      <c r="C15" s="23"/>
      <c r="D15" s="22"/>
      <c r="E15" s="22"/>
      <c r="F15" s="22"/>
      <c r="G15" s="13"/>
    </row>
    <row r="16" spans="1:7" ht="19.899999999999999" customHeight="1" x14ac:dyDescent="0.25">
      <c r="A16" s="13"/>
      <c r="B16" s="319" t="s">
        <v>1154</v>
      </c>
      <c r="C16" s="378"/>
      <c r="D16" s="383"/>
      <c r="E16" s="384"/>
      <c r="F16" s="384"/>
      <c r="G16" s="13"/>
    </row>
    <row r="17" spans="1:11" ht="10.15" customHeight="1" x14ac:dyDescent="0.25">
      <c r="A17" s="13"/>
      <c r="B17" s="23"/>
      <c r="C17" s="23"/>
      <c r="D17" s="22"/>
      <c r="E17" s="22"/>
      <c r="F17" s="22"/>
      <c r="G17" s="13"/>
    </row>
    <row r="18" spans="1:11" ht="19.899999999999999" customHeight="1" x14ac:dyDescent="0.25">
      <c r="A18" s="13"/>
      <c r="B18" s="319" t="s">
        <v>1155</v>
      </c>
      <c r="C18" s="378"/>
      <c r="D18" s="383"/>
      <c r="E18" s="384"/>
      <c r="F18" s="384"/>
      <c r="G18" s="13"/>
    </row>
    <row r="19" spans="1:11" ht="10.15" customHeight="1" x14ac:dyDescent="0.25">
      <c r="A19" s="13"/>
      <c r="B19" s="23"/>
      <c r="C19" s="23"/>
      <c r="D19" s="22"/>
      <c r="E19" s="22"/>
      <c r="F19" s="22"/>
      <c r="G19" s="13"/>
    </row>
    <row r="20" spans="1:11" ht="19.899999999999999" customHeight="1" x14ac:dyDescent="0.25">
      <c r="A20" s="13"/>
      <c r="B20" s="319" t="s">
        <v>31</v>
      </c>
      <c r="C20" s="378"/>
      <c r="D20" s="385">
        <f>'Шаг 1. Основные исходные данные'!E5</f>
        <v>6</v>
      </c>
      <c r="E20" s="386"/>
      <c r="F20" s="386"/>
      <c r="G20" s="13"/>
    </row>
    <row r="21" spans="1:11" ht="10.15" customHeight="1" x14ac:dyDescent="0.25">
      <c r="A21" s="13"/>
      <c r="B21" s="23"/>
      <c r="C21" s="23"/>
      <c r="D21" s="22"/>
      <c r="E21" s="22"/>
      <c r="F21" s="22"/>
      <c r="G21" s="13"/>
    </row>
    <row r="22" spans="1:11" ht="37.5" customHeight="1" x14ac:dyDescent="0.25">
      <c r="A22" s="13"/>
      <c r="B22" s="326" t="s">
        <v>1291</v>
      </c>
      <c r="C22" s="326"/>
      <c r="D22" s="386"/>
      <c r="E22" s="386"/>
      <c r="F22" s="386"/>
      <c r="G22" s="13"/>
    </row>
    <row r="23" spans="1:11" ht="10.15" customHeight="1" x14ac:dyDescent="0.25">
      <c r="A23" s="13"/>
      <c r="B23" s="23"/>
      <c r="C23" s="23"/>
      <c r="D23" s="22"/>
      <c r="E23" s="22"/>
      <c r="F23" s="22"/>
      <c r="G23" s="13"/>
    </row>
    <row r="24" spans="1:11" ht="192.75" customHeight="1" x14ac:dyDescent="0.25">
      <c r="A24" s="13"/>
      <c r="B24" s="326" t="s">
        <v>1157</v>
      </c>
      <c r="C24" s="326"/>
      <c r="D24" s="386"/>
      <c r="E24" s="386"/>
      <c r="F24" s="386"/>
      <c r="G24" s="13"/>
    </row>
    <row r="25" spans="1:11" x14ac:dyDescent="0.25">
      <c r="A25" s="13"/>
      <c r="B25" s="19"/>
      <c r="C25" s="15"/>
      <c r="D25" s="13"/>
      <c r="E25" s="13"/>
      <c r="F25" s="13"/>
      <c r="G25" s="13"/>
    </row>
    <row r="26" spans="1:11" x14ac:dyDescent="0.25">
      <c r="A26" s="13"/>
      <c r="B26" s="19"/>
      <c r="C26" s="13"/>
      <c r="D26" s="13"/>
      <c r="E26" s="13"/>
      <c r="F26" s="13"/>
      <c r="G26" s="13"/>
    </row>
    <row r="27" spans="1:11" ht="40.15" customHeight="1" x14ac:dyDescent="0.25">
      <c r="A27" s="13"/>
      <c r="B27" s="126" t="s">
        <v>62</v>
      </c>
      <c r="C27" s="126" t="s">
        <v>1180</v>
      </c>
      <c r="D27" s="126" t="s">
        <v>102</v>
      </c>
      <c r="E27" s="126" t="s">
        <v>1158</v>
      </c>
      <c r="F27" s="13"/>
      <c r="G27" s="13"/>
      <c r="K27" s="16"/>
    </row>
    <row r="28" spans="1:11" ht="19.899999999999999" customHeight="1" x14ac:dyDescent="0.25">
      <c r="A28" s="13"/>
      <c r="B28" s="125">
        <v>1</v>
      </c>
      <c r="C28" s="28" t="s">
        <v>116</v>
      </c>
      <c r="D28" s="26" t="str">
        <f>IF(E28&gt;0,"Да","Нет")</f>
        <v>Да</v>
      </c>
      <c r="E28" s="24">
        <f>'Шаг 2. Информационные'!E8:F8</f>
        <v>3157429.4045787812</v>
      </c>
      <c r="F28" s="13"/>
      <c r="G28" s="13"/>
      <c r="K28" s="16"/>
    </row>
    <row r="29" spans="1:11" s="18" customFormat="1" ht="15.75" x14ac:dyDescent="0.25">
      <c r="A29" s="17"/>
      <c r="B29" s="125"/>
      <c r="C29" s="29" t="s">
        <v>26</v>
      </c>
      <c r="D29" s="27"/>
      <c r="E29" s="25"/>
      <c r="F29" s="13"/>
      <c r="G29" s="17"/>
    </row>
    <row r="30" spans="1:11" ht="15.75" x14ac:dyDescent="0.25">
      <c r="A30" s="13"/>
      <c r="B30" s="30" t="s">
        <v>27</v>
      </c>
      <c r="C30" s="28" t="s">
        <v>63</v>
      </c>
      <c r="D30" s="27" t="str">
        <f>IF(E30&gt;0,"Да","Нет")</f>
        <v>Да</v>
      </c>
      <c r="E30" s="25">
        <f>'Шаг 2. Информационные'!E6:F6</f>
        <v>3157429.4045787812</v>
      </c>
      <c r="F30" s="13"/>
      <c r="G30" s="13"/>
      <c r="K30" s="16"/>
    </row>
    <row r="31" spans="1:11" ht="15.75" x14ac:dyDescent="0.25">
      <c r="A31" s="13"/>
      <c r="B31" s="125" t="s">
        <v>28</v>
      </c>
      <c r="C31" s="28" t="s">
        <v>80</v>
      </c>
      <c r="D31" s="27" t="str">
        <f>IF(E31&gt;0,"Да","Нет")</f>
        <v>Нет</v>
      </c>
      <c r="E31" s="25">
        <f>'Шаг 2. Информационные'!E7:F7</f>
        <v>0</v>
      </c>
      <c r="F31" s="13"/>
      <c r="G31" s="13"/>
      <c r="K31" s="16"/>
    </row>
    <row r="32" spans="1:11" ht="19.899999999999999" customHeight="1" x14ac:dyDescent="0.25">
      <c r="A32" s="13"/>
      <c r="B32" s="125">
        <v>2</v>
      </c>
      <c r="C32" s="28" t="s">
        <v>117</v>
      </c>
      <c r="D32" s="27" t="str">
        <f>IF(E32&gt;0,"Да","Нет")</f>
        <v>Нет</v>
      </c>
      <c r="E32" s="25">
        <f>'Шаг 3. Содержательные'!E8:F8</f>
        <v>0</v>
      </c>
      <c r="F32" s="13"/>
      <c r="G32" s="13"/>
    </row>
    <row r="33" spans="1:7" s="18" customFormat="1" ht="15.75" x14ac:dyDescent="0.25">
      <c r="A33" s="17"/>
      <c r="B33" s="125"/>
      <c r="C33" s="29" t="s">
        <v>26</v>
      </c>
      <c r="D33" s="27"/>
      <c r="E33" s="25"/>
      <c r="F33" s="13"/>
      <c r="G33" s="17"/>
    </row>
    <row r="34" spans="1:7" ht="15.75" x14ac:dyDescent="0.25">
      <c r="A34" s="13"/>
      <c r="B34" s="125" t="s">
        <v>29</v>
      </c>
      <c r="C34" s="28" t="s">
        <v>63</v>
      </c>
      <c r="D34" s="27" t="str">
        <f>IF(E34&gt;0,"Да","Нет")</f>
        <v>Нет</v>
      </c>
      <c r="E34" s="25">
        <f>'Шаг 3. Содержательные'!E6:F6</f>
        <v>0</v>
      </c>
      <c r="F34" s="13"/>
      <c r="G34" s="13"/>
    </row>
    <row r="35" spans="1:7" ht="15.75" x14ac:dyDescent="0.25">
      <c r="A35" s="13"/>
      <c r="B35" s="125" t="s">
        <v>30</v>
      </c>
      <c r="C35" s="28" t="s">
        <v>80</v>
      </c>
      <c r="D35" s="27" t="str">
        <f>IF(E35&gt;0,"Да","Нет")</f>
        <v>Нет</v>
      </c>
      <c r="E35" s="25">
        <f>'Шаг 3. Содержательные'!E7:F7</f>
        <v>0</v>
      </c>
      <c r="F35" s="13"/>
      <c r="G35" s="13"/>
    </row>
    <row r="36" spans="1:7" ht="19.899999999999999" customHeight="1" x14ac:dyDescent="0.25">
      <c r="A36" s="13"/>
      <c r="B36" s="125">
        <v>3</v>
      </c>
      <c r="C36" s="28" t="s">
        <v>1178</v>
      </c>
      <c r="D36" s="27" t="str">
        <f>IF(E36&gt;0,"Да","Нет")</f>
        <v>Нет</v>
      </c>
      <c r="E36" s="25">
        <f>'Шаг 4. Издержки простоя, НП'!E11+'Шаг 4. Издержки простоя, НП'!F11</f>
        <v>0</v>
      </c>
      <c r="F36" s="13"/>
      <c r="G36" s="13"/>
    </row>
    <row r="37" spans="1:7" s="18" customFormat="1" ht="15.75" x14ac:dyDescent="0.25">
      <c r="A37" s="17"/>
      <c r="B37" s="125"/>
      <c r="C37" s="29" t="s">
        <v>103</v>
      </c>
      <c r="D37" s="27"/>
      <c r="E37" s="25"/>
      <c r="F37" s="13"/>
      <c r="G37" s="17"/>
    </row>
    <row r="38" spans="1:7" ht="15.75" x14ac:dyDescent="0.25">
      <c r="A38" s="13"/>
      <c r="B38" s="125" t="s">
        <v>104</v>
      </c>
      <c r="C38" s="28" t="str">
        <f>IF('Шаг 4. Издержки простоя, НП'!D6=0,"",'Шаг 4. Издержки простоя, НП'!D6)</f>
        <v/>
      </c>
      <c r="D38" s="27" t="str">
        <f>IF(LEN(C38)&gt;0,"Да","Нет")</f>
        <v>Нет</v>
      </c>
      <c r="E38" s="25">
        <f>SUM('Шаг 4. Издержки простоя, НП'!E6:F6)</f>
        <v>0</v>
      </c>
      <c r="F38" s="13"/>
      <c r="G38" s="13"/>
    </row>
    <row r="39" spans="1:7" ht="15.75" x14ac:dyDescent="0.25">
      <c r="A39" s="13"/>
      <c r="B39" s="125" t="s">
        <v>105</v>
      </c>
      <c r="C39" s="28" t="str">
        <f>IF('Шаг 4. Издержки простоя, НП'!D7=0,"",'Шаг 4. Издержки простоя, НП'!D7)</f>
        <v/>
      </c>
      <c r="D39" s="27" t="str">
        <f>IF(LEN(C39)&gt;0,"Да","Нет")</f>
        <v>Нет</v>
      </c>
      <c r="E39" s="25">
        <f>SUM('Шаг 4. Издержки простоя, НП'!E7:F7)</f>
        <v>0</v>
      </c>
      <c r="F39" s="13"/>
      <c r="G39" s="13"/>
    </row>
    <row r="40" spans="1:7" ht="15.75" x14ac:dyDescent="0.25">
      <c r="A40" s="13"/>
      <c r="B40" s="125" t="s">
        <v>106</v>
      </c>
      <c r="C40" s="28" t="str">
        <f>IF('Шаг 4. Издержки простоя, НП'!D8=0,"",'Шаг 4. Издержки простоя, НП'!D8)</f>
        <v/>
      </c>
      <c r="D40" s="27" t="str">
        <f>IF(LEN(C40)&gt;0,"Да","Нет")</f>
        <v>Нет</v>
      </c>
      <c r="E40" s="25">
        <f>SUM('Шаг 4. Издержки простоя, НП'!E8:F8)</f>
        <v>0</v>
      </c>
      <c r="F40" s="13"/>
      <c r="G40" s="13"/>
    </row>
    <row r="41" spans="1:7" ht="15.75" x14ac:dyDescent="0.25">
      <c r="A41" s="13"/>
      <c r="B41" s="125" t="s">
        <v>107</v>
      </c>
      <c r="C41" s="28" t="str">
        <f>IF('Шаг 4. Издержки простоя, НП'!D9=0,"",'Шаг 4. Издержки простоя, НП'!D9)</f>
        <v/>
      </c>
      <c r="D41" s="27" t="str">
        <f>IF(LEN(C41)&gt;0,"Да","Нет")</f>
        <v>Нет</v>
      </c>
      <c r="E41" s="25">
        <f>SUM('Шаг 4. Издержки простоя, НП'!E9:F9)</f>
        <v>0</v>
      </c>
      <c r="F41" s="13"/>
      <c r="G41" s="13"/>
    </row>
    <row r="42" spans="1:7" ht="15.75" x14ac:dyDescent="0.25">
      <c r="A42" s="13"/>
      <c r="B42" s="125" t="s">
        <v>108</v>
      </c>
      <c r="C42" s="28" t="str">
        <f>IF('Шаг 4. Издержки простоя, НП'!D10=0,"",'Шаг 4. Издержки простоя, НП'!D10)</f>
        <v/>
      </c>
      <c r="D42" s="27" t="str">
        <f>IF(LEN(C42)&gt;0,"Да","Нет")</f>
        <v>Нет</v>
      </c>
      <c r="E42" s="25">
        <f>SUM('Шаг 4. Издержки простоя, НП'!E10:F10)</f>
        <v>0</v>
      </c>
      <c r="F42" s="13"/>
      <c r="G42" s="13"/>
    </row>
    <row r="43" spans="1:7" ht="19.899999999999999" customHeight="1" x14ac:dyDescent="0.25">
      <c r="A43" s="13"/>
      <c r="B43" s="125">
        <v>4</v>
      </c>
      <c r="C43" s="28" t="s">
        <v>118</v>
      </c>
      <c r="D43" s="27" t="str">
        <f>IF(E43&gt;0,"Да","Нет")</f>
        <v>Да</v>
      </c>
      <c r="E43" s="25">
        <f>'Шаг 5. Альтернативные'!J12</f>
        <v>405401.08374518325</v>
      </c>
      <c r="F43" s="13"/>
      <c r="G43" s="13"/>
    </row>
    <row r="44" spans="1:7" ht="19.899999999999999" customHeight="1" x14ac:dyDescent="0.25">
      <c r="A44" s="13"/>
      <c r="B44" s="261">
        <v>5</v>
      </c>
      <c r="C44" s="262" t="s">
        <v>95</v>
      </c>
      <c r="D44" s="263" t="str">
        <f>IF(E44&gt;0,"Да","Нет")</f>
        <v>Да</v>
      </c>
      <c r="E44" s="264">
        <f>SUM(E28,E32,E36,E43)</f>
        <v>3562830.4883239646</v>
      </c>
      <c r="F44" s="13"/>
      <c r="G44" s="13"/>
    </row>
    <row r="45" spans="1:7" x14ac:dyDescent="0.25">
      <c r="A45" s="13"/>
      <c r="B45" s="19"/>
      <c r="C45" s="13"/>
      <c r="D45" s="13"/>
      <c r="E45" s="13"/>
      <c r="F45" s="13"/>
      <c r="G45" s="13"/>
    </row>
    <row r="46" spans="1:7" x14ac:dyDescent="0.25">
      <c r="A46" s="13"/>
      <c r="B46" s="13"/>
      <c r="C46" s="13"/>
      <c r="D46" s="13"/>
      <c r="E46" s="13"/>
      <c r="F46" s="13"/>
      <c r="G46" s="13"/>
    </row>
  </sheetData>
  <mergeCells count="23">
    <mergeCell ref="B24:C24"/>
    <mergeCell ref="D6:F6"/>
    <mergeCell ref="D8:F8"/>
    <mergeCell ref="D10:F10"/>
    <mergeCell ref="D12:F12"/>
    <mergeCell ref="D14:F14"/>
    <mergeCell ref="D16:F16"/>
    <mergeCell ref="D18:F18"/>
    <mergeCell ref="D20:F20"/>
    <mergeCell ref="D22:F22"/>
    <mergeCell ref="D24:F24"/>
    <mergeCell ref="B22:C22"/>
    <mergeCell ref="B12:C12"/>
    <mergeCell ref="B2:E2"/>
    <mergeCell ref="B3:E3"/>
    <mergeCell ref="B6:C6"/>
    <mergeCell ref="B8:C8"/>
    <mergeCell ref="B20:C20"/>
    <mergeCell ref="B10:C10"/>
    <mergeCell ref="B14:C14"/>
    <mergeCell ref="B16:C16"/>
    <mergeCell ref="B18:C18"/>
    <mergeCell ref="B4:E4"/>
  </mergeCells>
  <pageMargins left="0.7" right="0.7" top="0.75" bottom="0.75" header="0.3" footer="0.3"/>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O5"/>
  <sheetViews>
    <sheetView zoomScale="70" zoomScaleNormal="70" workbookViewId="0">
      <selection sqref="A1:A3"/>
    </sheetView>
  </sheetViews>
  <sheetFormatPr defaultColWidth="8.85546875" defaultRowHeight="15.75" x14ac:dyDescent="0.25"/>
  <cols>
    <col min="1" max="1" width="8.85546875" style="265"/>
    <col min="2" max="2" width="24.28515625" style="265" customWidth="1"/>
    <col min="3" max="3" width="22.42578125" style="265" customWidth="1"/>
    <col min="4" max="5" width="16.85546875" style="265" customWidth="1"/>
    <col min="6" max="7" width="14.7109375" style="265" customWidth="1"/>
    <col min="8" max="8" width="15.7109375" style="265" customWidth="1"/>
    <col min="9" max="9" width="16.7109375" style="265" customWidth="1"/>
    <col min="10" max="11" width="15.5703125" style="265" customWidth="1"/>
    <col min="12" max="13" width="15.7109375" style="265" customWidth="1"/>
    <col min="14" max="15" width="14.28515625" style="265" customWidth="1"/>
    <col min="16" max="16384" width="8.85546875" style="265"/>
  </cols>
  <sheetData>
    <row r="1" spans="1:15" ht="66" customHeight="1" x14ac:dyDescent="0.25">
      <c r="A1" s="368" t="s">
        <v>62</v>
      </c>
      <c r="B1" s="368" t="s">
        <v>1183</v>
      </c>
      <c r="C1" s="368" t="s">
        <v>1184</v>
      </c>
      <c r="D1" s="368" t="s">
        <v>116</v>
      </c>
      <c r="E1" s="368"/>
      <c r="F1" s="368" t="s">
        <v>117</v>
      </c>
      <c r="G1" s="368"/>
      <c r="H1" s="368" t="s">
        <v>1185</v>
      </c>
      <c r="I1" s="368" t="s">
        <v>1186</v>
      </c>
      <c r="J1" s="368" t="s">
        <v>1187</v>
      </c>
      <c r="K1" s="368"/>
      <c r="L1" s="368" t="s">
        <v>1188</v>
      </c>
      <c r="M1" s="368"/>
      <c r="N1" s="368" t="s">
        <v>1189</v>
      </c>
      <c r="O1" s="368"/>
    </row>
    <row r="2" spans="1:15" x14ac:dyDescent="0.25">
      <c r="A2" s="368"/>
      <c r="B2" s="368"/>
      <c r="C2" s="368"/>
      <c r="D2" s="368" t="s">
        <v>1190</v>
      </c>
      <c r="E2" s="368" t="s">
        <v>1191</v>
      </c>
      <c r="F2" s="368" t="s">
        <v>1190</v>
      </c>
      <c r="G2" s="368" t="s">
        <v>1191</v>
      </c>
      <c r="H2" s="368"/>
      <c r="I2" s="368"/>
      <c r="J2" s="368" t="s">
        <v>1192</v>
      </c>
      <c r="K2" s="368" t="s">
        <v>1212</v>
      </c>
      <c r="L2" s="266" t="s">
        <v>1193</v>
      </c>
      <c r="M2" s="368" t="s">
        <v>1195</v>
      </c>
      <c r="N2" s="266" t="s">
        <v>1193</v>
      </c>
      <c r="O2" s="368" t="s">
        <v>1196</v>
      </c>
    </row>
    <row r="3" spans="1:15" ht="100.15" customHeight="1" x14ac:dyDescent="0.25">
      <c r="A3" s="368"/>
      <c r="B3" s="368"/>
      <c r="C3" s="368"/>
      <c r="D3" s="368"/>
      <c r="E3" s="368"/>
      <c r="F3" s="368"/>
      <c r="G3" s="368"/>
      <c r="H3" s="368"/>
      <c r="I3" s="368"/>
      <c r="J3" s="368"/>
      <c r="K3" s="368"/>
      <c r="L3" s="266" t="s">
        <v>1194</v>
      </c>
      <c r="M3" s="368"/>
      <c r="N3" s="266" t="s">
        <v>1194</v>
      </c>
      <c r="O3" s="368"/>
    </row>
    <row r="4" spans="1:15" s="269" customFormat="1" x14ac:dyDescent="0.25">
      <c r="A4" s="267" t="s">
        <v>1197</v>
      </c>
      <c r="B4" s="267" t="s">
        <v>1198</v>
      </c>
      <c r="C4" s="267" t="s">
        <v>1199</v>
      </c>
      <c r="D4" s="267" t="s">
        <v>1200</v>
      </c>
      <c r="E4" s="267" t="s">
        <v>1201</v>
      </c>
      <c r="F4" s="267" t="s">
        <v>1202</v>
      </c>
      <c r="G4" s="267" t="s">
        <v>1203</v>
      </c>
      <c r="H4" s="267" t="s">
        <v>1204</v>
      </c>
      <c r="I4" s="267" t="s">
        <v>1205</v>
      </c>
      <c r="J4" s="267" t="s">
        <v>1206</v>
      </c>
      <c r="K4" s="267" t="s">
        <v>1207</v>
      </c>
      <c r="L4" s="267" t="s">
        <v>1208</v>
      </c>
      <c r="M4" s="267" t="s">
        <v>1209</v>
      </c>
      <c r="N4" s="267" t="s">
        <v>1210</v>
      </c>
      <c r="O4" s="267" t="s">
        <v>1211</v>
      </c>
    </row>
    <row r="5" spans="1:15" x14ac:dyDescent="0.25">
      <c r="A5" s="268">
        <v>1</v>
      </c>
      <c r="B5" s="268">
        <f>'Сводные результаты оценки'!D14</f>
        <v>0</v>
      </c>
      <c r="C5" s="266"/>
      <c r="D5" s="274">
        <f>'Сводные результаты оценки'!E30</f>
        <v>3157429.4045787812</v>
      </c>
      <c r="E5" s="274">
        <f>'Сводные результаты оценки'!E31</f>
        <v>0</v>
      </c>
      <c r="F5" s="274">
        <f>'Сводные результаты оценки'!E34</f>
        <v>0</v>
      </c>
      <c r="G5" s="274">
        <f>'Сводные результаты оценки'!E35</f>
        <v>0</v>
      </c>
      <c r="H5" s="274">
        <f>'Сводные результаты оценки'!E36</f>
        <v>0</v>
      </c>
      <c r="I5" s="274">
        <f>'Сводные результаты оценки'!E43</f>
        <v>405401.08374518325</v>
      </c>
      <c r="J5" s="274" t="e">
        <f>SUM(#REF!,#REF!,#REF!,'Шаг 5. Альтернативные'!#REF!)</f>
        <v>#REF!</v>
      </c>
      <c r="K5" s="274">
        <f>'Сводные результаты оценки'!E44</f>
        <v>3562830.4883239646</v>
      </c>
      <c r="L5" s="266"/>
      <c r="M5" s="266"/>
      <c r="N5" s="266" t="s">
        <v>51</v>
      </c>
      <c r="O5" s="266"/>
    </row>
  </sheetData>
  <mergeCells count="18">
    <mergeCell ref="A1:A3"/>
    <mergeCell ref="B1:B3"/>
    <mergeCell ref="C1:C3"/>
    <mergeCell ref="D1:E1"/>
    <mergeCell ref="F1:G1"/>
    <mergeCell ref="D2:D3"/>
    <mergeCell ref="E2:E3"/>
    <mergeCell ref="F2:F3"/>
    <mergeCell ref="G2:G3"/>
    <mergeCell ref="J2:J3"/>
    <mergeCell ref="H1:H3"/>
    <mergeCell ref="M2:M3"/>
    <mergeCell ref="O2:O3"/>
    <mergeCell ref="I1:I3"/>
    <mergeCell ref="J1:K1"/>
    <mergeCell ref="L1:M1"/>
    <mergeCell ref="N1:O1"/>
    <mergeCell ref="K2:K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Dict!$A$2:$A$3</xm:f>
          </x14:formula1>
          <xm:sqref>L5 N5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sheetPr>
  <dimension ref="A3:G22"/>
  <sheetViews>
    <sheetView zoomScale="70" zoomScaleNormal="70" workbookViewId="0">
      <selection activeCell="L14" sqref="L14"/>
    </sheetView>
  </sheetViews>
  <sheetFormatPr defaultColWidth="8.85546875" defaultRowHeight="15" x14ac:dyDescent="0.25"/>
  <cols>
    <col min="1" max="1" width="8.85546875" style="253"/>
    <col min="2" max="2" width="58.28515625" style="253" customWidth="1"/>
    <col min="3" max="3" width="23" style="253" customWidth="1"/>
    <col min="4" max="4" width="30.7109375" style="253" customWidth="1"/>
    <col min="5" max="5" width="19.7109375" style="253" customWidth="1"/>
    <col min="6" max="6" width="20.5703125" style="253" customWidth="1"/>
    <col min="7" max="16384" width="8.85546875" style="253"/>
  </cols>
  <sheetData>
    <row r="3" spans="1:7" ht="60" x14ac:dyDescent="0.25">
      <c r="A3" s="9" t="s">
        <v>62</v>
      </c>
      <c r="B3" s="9" t="s">
        <v>110</v>
      </c>
      <c r="C3" s="9" t="s">
        <v>111</v>
      </c>
      <c r="D3" s="9" t="s">
        <v>112</v>
      </c>
      <c r="E3" s="9" t="s">
        <v>113</v>
      </c>
      <c r="F3" s="9" t="s">
        <v>114</v>
      </c>
      <c r="G3" s="9" t="s">
        <v>125</v>
      </c>
    </row>
    <row r="4" spans="1:7" ht="30" x14ac:dyDescent="0.25">
      <c r="A4" s="11" t="s">
        <v>121</v>
      </c>
      <c r="B4" s="11" t="str">
        <f>CONCATENATE('Сводные результаты оценки'!$D$14," ",'Сводные результаты оценки'!$D$10)</f>
        <v xml:space="preserve"> </v>
      </c>
      <c r="C4" s="11" t="s">
        <v>116</v>
      </c>
      <c r="D4" s="11" t="s">
        <v>120</v>
      </c>
      <c r="E4" s="254" t="e">
        <f>F4/'Сводные результаты оценки'!$D$20</f>
        <v>#REF!</v>
      </c>
      <c r="F4" s="254" t="e">
        <f>SUM(F5:F9)</f>
        <v>#REF!</v>
      </c>
      <c r="G4" s="11" t="s">
        <v>0</v>
      </c>
    </row>
    <row r="5" spans="1:7" ht="30" x14ac:dyDescent="0.25">
      <c r="A5" s="11" t="s">
        <v>27</v>
      </c>
      <c r="B5" s="11" t="str">
        <f>CONCATENATE('Сводные результаты оценки'!$D$14," ",'Сводные результаты оценки'!$D$10)</f>
        <v xml:space="preserve"> </v>
      </c>
      <c r="C5" s="11" t="s">
        <v>116</v>
      </c>
      <c r="D5" s="11" t="e">
        <f>IF(#REF!=0,"",#REF!)</f>
        <v>#REF!</v>
      </c>
      <c r="E5" s="254" t="e">
        <f>F5/'Сводные результаты оценки'!$D$20</f>
        <v>#REF!</v>
      </c>
      <c r="F5" s="254" t="e">
        <f>#REF!+#REF!</f>
        <v>#REF!</v>
      </c>
      <c r="G5" s="11" t="s">
        <v>0</v>
      </c>
    </row>
    <row r="6" spans="1:7" ht="30" x14ac:dyDescent="0.25">
      <c r="A6" s="11" t="s">
        <v>28</v>
      </c>
      <c r="B6" s="11" t="str">
        <f>CONCATENATE('Сводные результаты оценки'!$D$14," ",'Сводные результаты оценки'!$D$10)</f>
        <v xml:space="preserve"> </v>
      </c>
      <c r="C6" s="11" t="s">
        <v>116</v>
      </c>
      <c r="D6" s="11" t="e">
        <f>IF(#REF!=0,"",#REF!)</f>
        <v>#REF!</v>
      </c>
      <c r="E6" s="254" t="e">
        <f>F6/'Сводные результаты оценки'!$D$20</f>
        <v>#REF!</v>
      </c>
      <c r="F6" s="254" t="e">
        <f>#REF!+#REF!</f>
        <v>#REF!</v>
      </c>
      <c r="G6" s="11" t="s">
        <v>0</v>
      </c>
    </row>
    <row r="7" spans="1:7" ht="30" x14ac:dyDescent="0.25">
      <c r="A7" s="11" t="s">
        <v>122</v>
      </c>
      <c r="B7" s="11" t="str">
        <f>CONCATENATE('Сводные результаты оценки'!$D$14," ",'Сводные результаты оценки'!$D$10)</f>
        <v xml:space="preserve"> </v>
      </c>
      <c r="C7" s="11" t="s">
        <v>116</v>
      </c>
      <c r="D7" s="11" t="e">
        <f>IF(#REF!=0,"",#REF!)</f>
        <v>#REF!</v>
      </c>
      <c r="E7" s="254" t="e">
        <f>F7/'Сводные результаты оценки'!$D$20</f>
        <v>#REF!</v>
      </c>
      <c r="F7" s="254" t="e">
        <f>#REF!+#REF!</f>
        <v>#REF!</v>
      </c>
      <c r="G7" s="11" t="s">
        <v>0</v>
      </c>
    </row>
    <row r="8" spans="1:7" ht="30" x14ac:dyDescent="0.25">
      <c r="A8" s="11" t="s">
        <v>123</v>
      </c>
      <c r="B8" s="11" t="str">
        <f>CONCATENATE('Сводные результаты оценки'!$D$14," ",'Сводные результаты оценки'!$D$10)</f>
        <v xml:space="preserve"> </v>
      </c>
      <c r="C8" s="11" t="s">
        <v>116</v>
      </c>
      <c r="D8" s="11" t="e">
        <f>IF(#REF!=0,"",#REF!)</f>
        <v>#REF!</v>
      </c>
      <c r="E8" s="254" t="e">
        <f>F8/'Сводные результаты оценки'!$D$20</f>
        <v>#REF!</v>
      </c>
      <c r="F8" s="254" t="e">
        <f>#REF!+#REF!</f>
        <v>#REF!</v>
      </c>
      <c r="G8" s="11" t="s">
        <v>0</v>
      </c>
    </row>
    <row r="9" spans="1:7" ht="30" x14ac:dyDescent="0.25">
      <c r="A9" s="11" t="s">
        <v>124</v>
      </c>
      <c r="B9" s="11" t="str">
        <f>CONCATENATE('Сводные результаты оценки'!$D$14," ",'Сводные результаты оценки'!$D$10)</f>
        <v xml:space="preserve"> </v>
      </c>
      <c r="C9" s="11" t="s">
        <v>116</v>
      </c>
      <c r="D9" s="11" t="e">
        <f>IF(#REF!=0,"",#REF!)</f>
        <v>#REF!</v>
      </c>
      <c r="E9" s="254" t="e">
        <f>F9/'Сводные результаты оценки'!$D$20</f>
        <v>#REF!</v>
      </c>
      <c r="F9" s="254" t="e">
        <f>#REF!+#REF!</f>
        <v>#REF!</v>
      </c>
      <c r="G9" s="11" t="s">
        <v>0</v>
      </c>
    </row>
    <row r="10" spans="1:7" ht="30" x14ac:dyDescent="0.25">
      <c r="A10" s="11" t="s">
        <v>126</v>
      </c>
      <c r="B10" s="11" t="str">
        <f>CONCATENATE('Сводные результаты оценки'!$D$14," ",'Сводные результаты оценки'!$D$10)</f>
        <v xml:space="preserve"> </v>
      </c>
      <c r="C10" s="11" t="s">
        <v>117</v>
      </c>
      <c r="D10" s="11" t="s">
        <v>120</v>
      </c>
      <c r="E10" s="254" t="e">
        <f>F10/'Сводные результаты оценки'!$D$20</f>
        <v>#REF!</v>
      </c>
      <c r="F10" s="254" t="e">
        <f>SUM(F11:F15)</f>
        <v>#REF!</v>
      </c>
      <c r="G10" s="11" t="s">
        <v>0</v>
      </c>
    </row>
    <row r="11" spans="1:7" ht="30" x14ac:dyDescent="0.25">
      <c r="A11" s="11" t="s">
        <v>29</v>
      </c>
      <c r="B11" s="11" t="str">
        <f>CONCATENATE('Сводные результаты оценки'!$D$14," ",'Сводные результаты оценки'!$D$10)</f>
        <v xml:space="preserve"> </v>
      </c>
      <c r="C11" s="11" t="s">
        <v>117</v>
      </c>
      <c r="D11" s="11" t="e">
        <f>IF(#REF!=0,"",#REF!)</f>
        <v>#REF!</v>
      </c>
      <c r="E11" s="254" t="e">
        <f>F11/'Сводные результаты оценки'!$D$20</f>
        <v>#REF!</v>
      </c>
      <c r="F11" s="254" t="e">
        <f>#REF!+#REF!</f>
        <v>#REF!</v>
      </c>
      <c r="G11" s="11" t="s">
        <v>0</v>
      </c>
    </row>
    <row r="12" spans="1:7" ht="30" x14ac:dyDescent="0.25">
      <c r="A12" s="11" t="s">
        <v>30</v>
      </c>
      <c r="B12" s="11" t="str">
        <f>CONCATENATE('Сводные результаты оценки'!$D$14," ",'Сводные результаты оценки'!$D$10)</f>
        <v xml:space="preserve"> </v>
      </c>
      <c r="C12" s="11" t="s">
        <v>117</v>
      </c>
      <c r="D12" s="11" t="e">
        <f>IF(#REF!=0,"",#REF!)</f>
        <v>#REF!</v>
      </c>
      <c r="E12" s="254" t="e">
        <f>F12/'Сводные результаты оценки'!$D$20</f>
        <v>#REF!</v>
      </c>
      <c r="F12" s="254" t="e">
        <f>#REF!+#REF!</f>
        <v>#REF!</v>
      </c>
      <c r="G12" s="11" t="s">
        <v>0</v>
      </c>
    </row>
    <row r="13" spans="1:7" ht="30" x14ac:dyDescent="0.25">
      <c r="A13" s="11" t="s">
        <v>127</v>
      </c>
      <c r="B13" s="11" t="str">
        <f>CONCATENATE('Сводные результаты оценки'!$D$14," ",'Сводные результаты оценки'!$D$10)</f>
        <v xml:space="preserve"> </v>
      </c>
      <c r="C13" s="11" t="s">
        <v>117</v>
      </c>
      <c r="D13" s="11" t="e">
        <f>IF(#REF!=0,"",#REF!)</f>
        <v>#REF!</v>
      </c>
      <c r="E13" s="254" t="e">
        <f>F13/'Сводные результаты оценки'!$D$20</f>
        <v>#REF!</v>
      </c>
      <c r="F13" s="254" t="e">
        <f>#REF!+#REF!</f>
        <v>#REF!</v>
      </c>
      <c r="G13" s="11" t="s">
        <v>0</v>
      </c>
    </row>
    <row r="14" spans="1:7" ht="30" x14ac:dyDescent="0.25">
      <c r="A14" s="11" t="s">
        <v>128</v>
      </c>
      <c r="B14" s="11" t="str">
        <f>CONCATENATE('Сводные результаты оценки'!$D$14," ",'Сводные результаты оценки'!$D$10)</f>
        <v xml:space="preserve"> </v>
      </c>
      <c r="C14" s="11" t="s">
        <v>117</v>
      </c>
      <c r="D14" s="11" t="e">
        <f>IF(#REF!=0,"",#REF!)</f>
        <v>#REF!</v>
      </c>
      <c r="E14" s="254" t="e">
        <f>F14/'Сводные результаты оценки'!$D$20</f>
        <v>#REF!</v>
      </c>
      <c r="F14" s="254" t="e">
        <f>#REF!+#REF!</f>
        <v>#REF!</v>
      </c>
      <c r="G14" s="11" t="s">
        <v>0</v>
      </c>
    </row>
    <row r="15" spans="1:7" ht="30" x14ac:dyDescent="0.25">
      <c r="A15" s="11" t="s">
        <v>129</v>
      </c>
      <c r="B15" s="11" t="str">
        <f>CONCATENATE('Сводные результаты оценки'!$D$14," ",'Сводные результаты оценки'!$D$10)</f>
        <v xml:space="preserve"> </v>
      </c>
      <c r="C15" s="11" t="s">
        <v>117</v>
      </c>
      <c r="D15" s="11" t="e">
        <f>IF(#REF!=0,"",#REF!)</f>
        <v>#REF!</v>
      </c>
      <c r="E15" s="254" t="e">
        <f>F15/'Сводные результаты оценки'!$D$20</f>
        <v>#REF!</v>
      </c>
      <c r="F15" s="254" t="e">
        <f>#REF!+#REF!</f>
        <v>#REF!</v>
      </c>
      <c r="G15" s="11" t="s">
        <v>0</v>
      </c>
    </row>
    <row r="16" spans="1:7" x14ac:dyDescent="0.25">
      <c r="A16" s="11" t="s">
        <v>130</v>
      </c>
      <c r="B16" s="11" t="str">
        <f>CONCATENATE('Сводные результаты оценки'!$D$14," ",'Сводные результаты оценки'!$D$10)</f>
        <v xml:space="preserve"> </v>
      </c>
      <c r="C16" s="11" t="s">
        <v>5</v>
      </c>
      <c r="D16" s="11" t="s">
        <v>120</v>
      </c>
      <c r="E16" s="254" t="e">
        <f>F16/'Сводные результаты оценки'!$D$20</f>
        <v>#REF!</v>
      </c>
      <c r="F16" s="254" t="e">
        <f>SUM(F17:F21)</f>
        <v>#REF!</v>
      </c>
      <c r="G16" s="11" t="s">
        <v>0</v>
      </c>
    </row>
    <row r="17" spans="1:7" x14ac:dyDescent="0.25">
      <c r="A17" s="11" t="s">
        <v>104</v>
      </c>
      <c r="B17" s="11" t="str">
        <f>CONCATENATE('Сводные результаты оценки'!$D$14," ",'Сводные результаты оценки'!$D$10)</f>
        <v xml:space="preserve"> </v>
      </c>
      <c r="C17" s="11" t="s">
        <v>5</v>
      </c>
      <c r="D17" s="11" t="e">
        <f>IF(#REF!=0,"",#REF!)</f>
        <v>#REF!</v>
      </c>
      <c r="E17" s="254" t="e">
        <f>F17/'Сводные результаты оценки'!$D$20</f>
        <v>#REF!</v>
      </c>
      <c r="F17" s="254" t="e">
        <f>#REF!</f>
        <v>#REF!</v>
      </c>
      <c r="G17" s="11" t="s">
        <v>0</v>
      </c>
    </row>
    <row r="18" spans="1:7" x14ac:dyDescent="0.25">
      <c r="A18" s="11" t="s">
        <v>105</v>
      </c>
      <c r="B18" s="11" t="str">
        <f>CONCATENATE('Сводные результаты оценки'!$D$14," ",'Сводные результаты оценки'!$D$10)</f>
        <v xml:space="preserve"> </v>
      </c>
      <c r="C18" s="11" t="s">
        <v>5</v>
      </c>
      <c r="D18" s="11" t="e">
        <f>IF(#REF!=0,"",#REF!)</f>
        <v>#REF!</v>
      </c>
      <c r="E18" s="254" t="e">
        <f>F18/'Сводные результаты оценки'!$D$20</f>
        <v>#REF!</v>
      </c>
      <c r="F18" s="254" t="e">
        <f>#REF!</f>
        <v>#REF!</v>
      </c>
      <c r="G18" s="11" t="s">
        <v>0</v>
      </c>
    </row>
    <row r="19" spans="1:7" x14ac:dyDescent="0.25">
      <c r="A19" s="11" t="s">
        <v>106</v>
      </c>
      <c r="B19" s="11" t="str">
        <f>CONCATENATE('Сводные результаты оценки'!$D$14," ",'Сводные результаты оценки'!$D$10)</f>
        <v xml:space="preserve"> </v>
      </c>
      <c r="C19" s="11" t="s">
        <v>5</v>
      </c>
      <c r="D19" s="11" t="e">
        <f>IF(#REF!=0,"",#REF!)</f>
        <v>#REF!</v>
      </c>
      <c r="E19" s="254" t="e">
        <f>F19/'Сводные результаты оценки'!$D$20</f>
        <v>#REF!</v>
      </c>
      <c r="F19" s="254" t="e">
        <f>#REF!</f>
        <v>#REF!</v>
      </c>
      <c r="G19" s="11" t="s">
        <v>0</v>
      </c>
    </row>
    <row r="20" spans="1:7" x14ac:dyDescent="0.25">
      <c r="A20" s="11" t="s">
        <v>107</v>
      </c>
      <c r="B20" s="11" t="str">
        <f>CONCATENATE('Сводные результаты оценки'!$D$14," ",'Сводные результаты оценки'!$D$10)</f>
        <v xml:space="preserve"> </v>
      </c>
      <c r="C20" s="11" t="s">
        <v>5</v>
      </c>
      <c r="D20" s="11" t="e">
        <f>IF(#REF!=0,"",#REF!)</f>
        <v>#REF!</v>
      </c>
      <c r="E20" s="254" t="e">
        <f>F20/'Сводные результаты оценки'!$D$20</f>
        <v>#REF!</v>
      </c>
      <c r="F20" s="254" t="e">
        <f>#REF!</f>
        <v>#REF!</v>
      </c>
      <c r="G20" s="11" t="s">
        <v>0</v>
      </c>
    </row>
    <row r="21" spans="1:7" x14ac:dyDescent="0.25">
      <c r="A21" s="11" t="s">
        <v>108</v>
      </c>
      <c r="B21" s="11" t="str">
        <f>CONCATENATE('Сводные результаты оценки'!$D$14," ",'Сводные результаты оценки'!$D$10)</f>
        <v xml:space="preserve"> </v>
      </c>
      <c r="C21" s="11" t="s">
        <v>5</v>
      </c>
      <c r="D21" s="11" t="e">
        <f>IF(#REF!=0,"",#REF!)</f>
        <v>#REF!</v>
      </c>
      <c r="E21" s="254" t="e">
        <f>F21/'Сводные результаты оценки'!$D$20</f>
        <v>#REF!</v>
      </c>
      <c r="F21" s="254" t="e">
        <f>#REF!</f>
        <v>#REF!</v>
      </c>
      <c r="G21" s="11" t="s">
        <v>0</v>
      </c>
    </row>
    <row r="22" spans="1:7" ht="30" x14ac:dyDescent="0.25">
      <c r="A22" s="11" t="s">
        <v>131</v>
      </c>
      <c r="B22" s="11" t="str">
        <f>CONCATENATE('Сводные результаты оценки'!$D$14," ",'Сводные результаты оценки'!$D$10)</f>
        <v xml:space="preserve"> </v>
      </c>
      <c r="C22" s="11" t="s">
        <v>118</v>
      </c>
      <c r="D22" s="11" t="s">
        <v>119</v>
      </c>
      <c r="E22" s="254">
        <f>F22/'Сводные результаты оценки'!$D$20</f>
        <v>6629.5902199624679</v>
      </c>
      <c r="F22" s="254">
        <f>'Шаг 5. Альтернативные'!D12</f>
        <v>39777.541319774806</v>
      </c>
      <c r="G22" s="11" t="s">
        <v>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C225"/>
  <sheetViews>
    <sheetView topLeftCell="E1" zoomScale="85" zoomScaleNormal="85" workbookViewId="0">
      <selection activeCell="I5" sqref="I5"/>
    </sheetView>
  </sheetViews>
  <sheetFormatPr defaultColWidth="8.85546875" defaultRowHeight="15" x14ac:dyDescent="0.25"/>
  <cols>
    <col min="1" max="1" width="2.7109375" style="168" bestFit="1" customWidth="1"/>
    <col min="2" max="2" width="25.42578125" style="168" customWidth="1"/>
    <col min="3" max="3" width="39.5703125" style="168" customWidth="1"/>
    <col min="4" max="4" width="44.85546875" style="168" customWidth="1"/>
    <col min="5" max="5" width="50.5703125" style="168" customWidth="1"/>
    <col min="6" max="6" width="40.42578125" style="168" customWidth="1"/>
    <col min="7" max="7" width="18.28515625" style="168" customWidth="1"/>
    <col min="8" max="8" width="27.28515625" style="168" customWidth="1"/>
    <col min="9" max="9" width="27.85546875" style="168" customWidth="1"/>
    <col min="10" max="10" width="31.5703125" style="168" customWidth="1"/>
    <col min="11" max="11" width="4.28515625" style="168" customWidth="1"/>
    <col min="12" max="12" width="20.28515625" style="168" customWidth="1"/>
    <col min="13" max="13" width="15.28515625" style="168" bestFit="1" customWidth="1"/>
    <col min="14" max="14" width="17.140625" style="168" bestFit="1" customWidth="1"/>
    <col min="15" max="15" width="29.28515625" style="168" customWidth="1"/>
    <col min="16" max="16" width="20.85546875" style="168" bestFit="1" customWidth="1"/>
    <col min="17" max="17" width="15.28515625" style="168" customWidth="1"/>
    <col min="18" max="18" width="13.28515625" style="168" customWidth="1"/>
    <col min="19" max="19" width="17.28515625" style="168" customWidth="1"/>
    <col min="20" max="21" width="16.140625" style="168" customWidth="1"/>
    <col min="22" max="23" width="20.42578125" style="168" customWidth="1"/>
    <col min="24" max="24" width="24.7109375" style="168" customWidth="1"/>
    <col min="25" max="25" width="28.85546875" style="168" customWidth="1"/>
    <col min="26" max="26" width="16.85546875" style="168" customWidth="1"/>
    <col min="27" max="27" width="27.7109375" style="168" customWidth="1"/>
    <col min="28" max="16384" width="8.85546875" style="168"/>
  </cols>
  <sheetData>
    <row r="1" spans="1:27" ht="15.75" x14ac:dyDescent="0.25">
      <c r="B1" s="128" t="s">
        <v>1137</v>
      </c>
    </row>
    <row r="2" spans="1:27" ht="15.75" thickBot="1" x14ac:dyDescent="0.3"/>
    <row r="3" spans="1:27" x14ac:dyDescent="0.25">
      <c r="A3" s="391"/>
      <c r="B3" s="393" t="s">
        <v>1136</v>
      </c>
      <c r="C3" s="393" t="s">
        <v>1135</v>
      </c>
      <c r="D3" s="393" t="s">
        <v>1134</v>
      </c>
      <c r="E3" s="395" t="s">
        <v>1133</v>
      </c>
      <c r="F3" s="395"/>
      <c r="G3" s="395"/>
      <c r="H3" s="387" t="s">
        <v>1132</v>
      </c>
      <c r="I3" s="387"/>
      <c r="J3" s="388"/>
      <c r="K3" s="205"/>
      <c r="L3" s="397" t="s">
        <v>1131</v>
      </c>
      <c r="M3" s="395"/>
      <c r="N3" s="395"/>
      <c r="O3" s="395"/>
      <c r="P3" s="395"/>
      <c r="Q3" s="395"/>
      <c r="R3" s="395"/>
      <c r="S3" s="395"/>
      <c r="T3" s="395"/>
      <c r="U3" s="395"/>
      <c r="V3" s="395"/>
      <c r="W3" s="395"/>
      <c r="X3" s="395"/>
      <c r="Y3" s="395"/>
      <c r="Z3" s="395"/>
      <c r="AA3" s="398"/>
    </row>
    <row r="4" spans="1:27" x14ac:dyDescent="0.25">
      <c r="A4" s="392"/>
      <c r="B4" s="394"/>
      <c r="C4" s="394"/>
      <c r="D4" s="394"/>
      <c r="E4" s="396"/>
      <c r="F4" s="396"/>
      <c r="G4" s="396"/>
      <c r="H4" s="389"/>
      <c r="I4" s="389"/>
      <c r="J4" s="390"/>
      <c r="K4" s="205"/>
      <c r="L4" s="399" t="s">
        <v>1130</v>
      </c>
      <c r="M4" s="400" t="s">
        <v>1129</v>
      </c>
      <c r="N4" s="400" t="s">
        <v>1128</v>
      </c>
      <c r="O4" s="400"/>
      <c r="P4" s="400"/>
      <c r="Q4" s="400"/>
      <c r="R4" s="400"/>
      <c r="S4" s="400"/>
      <c r="T4" s="400"/>
      <c r="U4" s="400" t="s">
        <v>1127</v>
      </c>
      <c r="V4" s="400"/>
      <c r="W4" s="400"/>
      <c r="X4" s="400" t="s">
        <v>1126</v>
      </c>
      <c r="Y4" s="400" t="s">
        <v>1125</v>
      </c>
      <c r="Z4" s="400" t="s">
        <v>1124</v>
      </c>
      <c r="AA4" s="401" t="s">
        <v>1123</v>
      </c>
    </row>
    <row r="5" spans="1:27" ht="60" x14ac:dyDescent="0.25">
      <c r="A5" s="392"/>
      <c r="B5" s="394"/>
      <c r="C5" s="394"/>
      <c r="D5" s="394"/>
      <c r="E5" s="204" t="s">
        <v>1122</v>
      </c>
      <c r="F5" s="204" t="s">
        <v>1121</v>
      </c>
      <c r="G5" s="204" t="s">
        <v>1120</v>
      </c>
      <c r="H5" s="231" t="s">
        <v>1119</v>
      </c>
      <c r="I5" s="231" t="s">
        <v>1118</v>
      </c>
      <c r="J5" s="203" t="s">
        <v>1117</v>
      </c>
      <c r="K5" s="202"/>
      <c r="L5" s="399"/>
      <c r="M5" s="400"/>
      <c r="N5" s="234" t="s">
        <v>264</v>
      </c>
      <c r="O5" s="234" t="s">
        <v>1116</v>
      </c>
      <c r="P5" s="234" t="s">
        <v>1115</v>
      </c>
      <c r="Q5" s="234" t="s">
        <v>1114</v>
      </c>
      <c r="R5" s="234" t="s">
        <v>1113</v>
      </c>
      <c r="S5" s="234" t="s">
        <v>1112</v>
      </c>
      <c r="T5" s="201" t="s">
        <v>1109</v>
      </c>
      <c r="U5" s="201" t="s">
        <v>1111</v>
      </c>
      <c r="V5" s="200" t="s">
        <v>1110</v>
      </c>
      <c r="W5" s="234" t="s">
        <v>1109</v>
      </c>
      <c r="X5" s="400"/>
      <c r="Y5" s="400"/>
      <c r="Z5" s="400"/>
      <c r="AA5" s="401"/>
    </row>
    <row r="6" spans="1:27" ht="45" x14ac:dyDescent="0.25">
      <c r="A6" s="403">
        <v>1</v>
      </c>
      <c r="B6" s="405" t="s">
        <v>1108</v>
      </c>
      <c r="C6" s="402" t="s">
        <v>224</v>
      </c>
      <c r="D6" s="406" t="s">
        <v>225</v>
      </c>
      <c r="E6" s="251" t="s">
        <v>1107</v>
      </c>
      <c r="F6" s="185" t="s">
        <v>1106</v>
      </c>
      <c r="G6" s="402" t="s">
        <v>929</v>
      </c>
      <c r="H6" s="193">
        <f>I6*J6</f>
        <v>5942.3392000000003</v>
      </c>
      <c r="I6" s="193">
        <f>X6*Z6+Y6</f>
        <v>10.611320000000001</v>
      </c>
      <c r="J6" s="186">
        <v>560</v>
      </c>
      <c r="L6" s="180">
        <v>0.2</v>
      </c>
      <c r="M6" s="179">
        <f>1/6</f>
        <v>0.16666666666666666</v>
      </c>
      <c r="N6" s="185" t="s">
        <v>1105</v>
      </c>
      <c r="O6" s="185" t="s">
        <v>276</v>
      </c>
      <c r="P6" s="185">
        <v>2.85</v>
      </c>
      <c r="Q6" s="185">
        <v>3</v>
      </c>
      <c r="R6" s="179">
        <f>1/6</f>
        <v>0.16666666666666666</v>
      </c>
      <c r="S6" s="185"/>
      <c r="T6" s="199"/>
      <c r="U6" s="198" t="s">
        <v>1104</v>
      </c>
      <c r="V6" s="179">
        <v>2</v>
      </c>
      <c r="W6" s="179">
        <f>1/6</f>
        <v>0.16666666666666666</v>
      </c>
      <c r="X6" s="178">
        <f>(L6*M6+S6*T6)*6</f>
        <v>0.2</v>
      </c>
      <c r="Y6" s="185">
        <f>(P6*Q6*R6+V6*W6)*6</f>
        <v>10.55</v>
      </c>
      <c r="Z6" s="177">
        <v>0.30659999999999998</v>
      </c>
      <c r="AA6" s="176"/>
    </row>
    <row r="7" spans="1:27" ht="30" x14ac:dyDescent="0.25">
      <c r="A7" s="403"/>
      <c r="B7" s="405"/>
      <c r="C7" s="402"/>
      <c r="D7" s="406"/>
      <c r="E7" s="185" t="s">
        <v>1103</v>
      </c>
      <c r="F7" s="185"/>
      <c r="G7" s="402"/>
      <c r="H7" s="181"/>
      <c r="I7" s="181"/>
      <c r="J7" s="176"/>
      <c r="L7" s="180"/>
      <c r="M7" s="179"/>
      <c r="N7" s="185"/>
      <c r="O7" s="185"/>
      <c r="P7" s="185"/>
      <c r="Q7" s="185"/>
      <c r="R7" s="179">
        <v>10</v>
      </c>
      <c r="S7" s="185"/>
      <c r="T7" s="185"/>
      <c r="U7" s="185"/>
      <c r="V7" s="185"/>
      <c r="W7" s="179"/>
      <c r="X7" s="178"/>
      <c r="Y7" s="185"/>
      <c r="Z7" s="177"/>
      <c r="AA7" s="176"/>
    </row>
    <row r="8" spans="1:27" ht="45" x14ac:dyDescent="0.25">
      <c r="A8" s="403"/>
      <c r="B8" s="405"/>
      <c r="C8" s="402"/>
      <c r="D8" s="191" t="s">
        <v>1102</v>
      </c>
      <c r="E8" s="185" t="s">
        <v>1101</v>
      </c>
      <c r="F8" s="185"/>
      <c r="G8" s="185"/>
      <c r="H8" s="193">
        <f>I8*J8</f>
        <v>0</v>
      </c>
      <c r="I8" s="181"/>
      <c r="J8" s="176"/>
      <c r="L8" s="180"/>
      <c r="M8" s="179"/>
      <c r="N8" s="185"/>
      <c r="O8" s="185"/>
      <c r="P8" s="185"/>
      <c r="Q8" s="185"/>
      <c r="R8" s="179"/>
      <c r="S8" s="185"/>
      <c r="T8" s="185"/>
      <c r="U8" s="185"/>
      <c r="V8" s="185"/>
      <c r="W8" s="179"/>
      <c r="X8" s="178"/>
      <c r="Y8" s="185"/>
      <c r="Z8" s="177"/>
      <c r="AA8" s="176"/>
    </row>
    <row r="9" spans="1:27" ht="30" x14ac:dyDescent="0.25">
      <c r="A9" s="403"/>
      <c r="B9" s="405"/>
      <c r="C9" s="402" t="s">
        <v>227</v>
      </c>
      <c r="D9" s="402" t="s">
        <v>1100</v>
      </c>
      <c r="E9" s="185" t="s">
        <v>1097</v>
      </c>
      <c r="F9" s="185"/>
      <c r="G9" s="191" t="s">
        <v>929</v>
      </c>
      <c r="H9" s="193">
        <f>I9*J9</f>
        <v>0</v>
      </c>
      <c r="I9" s="193">
        <f>X9*(Z9+Z10+Z11)+Y9</f>
        <v>66.2256</v>
      </c>
      <c r="J9" s="176"/>
      <c r="L9" s="180">
        <v>1</v>
      </c>
      <c r="M9" s="179">
        <v>12</v>
      </c>
      <c r="N9" s="185"/>
      <c r="O9" s="185"/>
      <c r="P9" s="185"/>
      <c r="Q9" s="185"/>
      <c r="R9" s="179"/>
      <c r="S9" s="185"/>
      <c r="T9" s="185"/>
      <c r="U9" s="185"/>
      <c r="V9" s="185"/>
      <c r="W9" s="179"/>
      <c r="X9" s="178">
        <f>(L9*M9+L10*M10+L11*M11+L12*M12+S9*T9)*6</f>
        <v>216</v>
      </c>
      <c r="Y9" s="185">
        <f>(P9*Q9*R9+V9*W9)*6</f>
        <v>0</v>
      </c>
      <c r="Z9" s="177">
        <v>0.30659999999999998</v>
      </c>
      <c r="AA9" s="176"/>
    </row>
    <row r="10" spans="1:27" ht="30" x14ac:dyDescent="0.25">
      <c r="A10" s="403"/>
      <c r="B10" s="405"/>
      <c r="C10" s="402"/>
      <c r="D10" s="402"/>
      <c r="E10" s="185" t="s">
        <v>1096</v>
      </c>
      <c r="F10" s="185"/>
      <c r="G10" s="191"/>
      <c r="H10" s="197"/>
      <c r="I10" s="197"/>
      <c r="J10" s="176"/>
      <c r="L10" s="180"/>
      <c r="M10" s="179"/>
      <c r="N10" s="185"/>
      <c r="O10" s="185"/>
      <c r="P10" s="185"/>
      <c r="Q10" s="185"/>
      <c r="R10" s="179"/>
      <c r="S10" s="185"/>
      <c r="T10" s="185"/>
      <c r="U10" s="185"/>
      <c r="V10" s="185"/>
      <c r="W10" s="179"/>
      <c r="X10" s="178"/>
      <c r="Y10" s="185"/>
      <c r="Z10" s="177"/>
      <c r="AA10" s="176"/>
    </row>
    <row r="11" spans="1:27" ht="30" x14ac:dyDescent="0.25">
      <c r="A11" s="403"/>
      <c r="B11" s="405"/>
      <c r="C11" s="402"/>
      <c r="D11" s="402"/>
      <c r="E11" s="185" t="s">
        <v>1095</v>
      </c>
      <c r="F11" s="185"/>
      <c r="G11" s="191"/>
      <c r="H11" s="197"/>
      <c r="I11" s="197"/>
      <c r="J11" s="176"/>
      <c r="L11" s="180"/>
      <c r="M11" s="179"/>
      <c r="N11" s="185"/>
      <c r="O11" s="185"/>
      <c r="P11" s="185"/>
      <c r="Q11" s="185"/>
      <c r="R11" s="179"/>
      <c r="S11" s="185"/>
      <c r="T11" s="185"/>
      <c r="U11" s="185"/>
      <c r="V11" s="185"/>
      <c r="W11" s="179"/>
      <c r="X11" s="178"/>
      <c r="Y11" s="185"/>
      <c r="Z11" s="177"/>
      <c r="AA11" s="176"/>
    </row>
    <row r="12" spans="1:27" ht="45" x14ac:dyDescent="0.25">
      <c r="A12" s="403"/>
      <c r="B12" s="405"/>
      <c r="C12" s="402"/>
      <c r="D12" s="402"/>
      <c r="E12" s="185" t="s">
        <v>1099</v>
      </c>
      <c r="F12" s="185"/>
      <c r="G12" s="191"/>
      <c r="H12" s="197"/>
      <c r="I12" s="197"/>
      <c r="J12" s="176"/>
      <c r="L12" s="180">
        <v>2</v>
      </c>
      <c r="M12" s="179">
        <v>12</v>
      </c>
      <c r="N12" s="185"/>
      <c r="O12" s="185"/>
      <c r="P12" s="185"/>
      <c r="Q12" s="185"/>
      <c r="R12" s="179"/>
      <c r="S12" s="185"/>
      <c r="T12" s="185"/>
      <c r="U12" s="185"/>
      <c r="V12" s="185"/>
      <c r="W12" s="179"/>
      <c r="X12" s="178"/>
      <c r="Y12" s="185"/>
      <c r="Z12" s="177"/>
      <c r="AA12" s="176"/>
    </row>
    <row r="13" spans="1:27" ht="30" x14ac:dyDescent="0.25">
      <c r="A13" s="403"/>
      <c r="B13" s="405"/>
      <c r="C13" s="402"/>
      <c r="D13" s="402" t="s">
        <v>1098</v>
      </c>
      <c r="E13" s="185" t="s">
        <v>1097</v>
      </c>
      <c r="F13" s="185"/>
      <c r="G13" s="191" t="s">
        <v>929</v>
      </c>
      <c r="H13" s="193">
        <f>I13*J13</f>
        <v>0</v>
      </c>
      <c r="I13" s="193">
        <f>X13*(Z13+Z14+Z15)+Y13</f>
        <v>60.338879999999989</v>
      </c>
      <c r="J13" s="176"/>
      <c r="L13" s="180"/>
      <c r="M13" s="179"/>
      <c r="N13" s="185"/>
      <c r="O13" s="185"/>
      <c r="P13" s="185"/>
      <c r="Q13" s="185"/>
      <c r="R13" s="179"/>
      <c r="S13" s="185"/>
      <c r="T13" s="185"/>
      <c r="U13" s="185"/>
      <c r="V13" s="185"/>
      <c r="W13" s="179"/>
      <c r="X13" s="178">
        <f>(L13*M13+L14*M14+L15*M15+L16*M16+S13*T13)*6</f>
        <v>196.79999999999998</v>
      </c>
      <c r="Y13" s="185">
        <f>(P13*Q13*R13+V13*W13)*6</f>
        <v>0</v>
      </c>
      <c r="Z13" s="177">
        <v>0.30659999999999998</v>
      </c>
      <c r="AA13" s="176"/>
    </row>
    <row r="14" spans="1:27" ht="30" x14ac:dyDescent="0.25">
      <c r="A14" s="403"/>
      <c r="B14" s="405"/>
      <c r="C14" s="402"/>
      <c r="D14" s="402"/>
      <c r="E14" s="185" t="s">
        <v>1096</v>
      </c>
      <c r="F14" s="185"/>
      <c r="G14" s="191"/>
      <c r="H14" s="197"/>
      <c r="I14" s="197"/>
      <c r="J14" s="176"/>
      <c r="L14" s="180"/>
      <c r="M14" s="179"/>
      <c r="N14" s="185"/>
      <c r="O14" s="185"/>
      <c r="P14" s="185"/>
      <c r="Q14" s="185"/>
      <c r="R14" s="179"/>
      <c r="S14" s="185"/>
      <c r="T14" s="185"/>
      <c r="U14" s="185"/>
      <c r="V14" s="185"/>
      <c r="W14" s="179"/>
      <c r="X14" s="178"/>
      <c r="Y14" s="185"/>
      <c r="Z14" s="177"/>
      <c r="AA14" s="176"/>
    </row>
    <row r="15" spans="1:27" ht="30" x14ac:dyDescent="0.25">
      <c r="A15" s="403"/>
      <c r="B15" s="405"/>
      <c r="C15" s="402"/>
      <c r="D15" s="402"/>
      <c r="E15" s="185" t="s">
        <v>1095</v>
      </c>
      <c r="F15" s="185"/>
      <c r="G15" s="191"/>
      <c r="H15" s="197"/>
      <c r="I15" s="197"/>
      <c r="J15" s="176"/>
      <c r="L15" s="180">
        <v>8</v>
      </c>
      <c r="M15" s="179">
        <v>4</v>
      </c>
      <c r="N15" s="185"/>
      <c r="O15" s="185"/>
      <c r="P15" s="185"/>
      <c r="Q15" s="185"/>
      <c r="R15" s="179"/>
      <c r="S15" s="185"/>
      <c r="T15" s="185"/>
      <c r="U15" s="185"/>
      <c r="V15" s="185"/>
      <c r="W15" s="179"/>
      <c r="X15" s="178"/>
      <c r="Y15" s="185"/>
      <c r="Z15" s="177"/>
      <c r="AA15" s="176"/>
    </row>
    <row r="16" spans="1:27" x14ac:dyDescent="0.25">
      <c r="A16" s="403"/>
      <c r="B16" s="405"/>
      <c r="C16" s="402"/>
      <c r="D16" s="402"/>
      <c r="E16" s="185" t="s">
        <v>1094</v>
      </c>
      <c r="F16" s="185"/>
      <c r="G16" s="191"/>
      <c r="H16" s="181"/>
      <c r="I16" s="181"/>
      <c r="J16" s="176"/>
      <c r="L16" s="180">
        <v>0.2</v>
      </c>
      <c r="M16" s="179">
        <v>4</v>
      </c>
      <c r="N16" s="185"/>
      <c r="O16" s="185"/>
      <c r="P16" s="185"/>
      <c r="Q16" s="185"/>
      <c r="R16" s="179"/>
      <c r="S16" s="185"/>
      <c r="T16" s="185"/>
      <c r="U16" s="185"/>
      <c r="V16" s="185"/>
      <c r="W16" s="179"/>
      <c r="X16" s="178"/>
      <c r="Y16" s="185"/>
      <c r="Z16" s="177"/>
      <c r="AA16" s="176"/>
    </row>
    <row r="17" spans="1:27" x14ac:dyDescent="0.25">
      <c r="A17" s="403"/>
      <c r="B17" s="405"/>
      <c r="C17" s="402" t="s">
        <v>191</v>
      </c>
      <c r="D17" s="402" t="s">
        <v>1093</v>
      </c>
      <c r="E17" s="185" t="s">
        <v>1078</v>
      </c>
      <c r="F17" s="185"/>
      <c r="G17" s="185" t="s">
        <v>929</v>
      </c>
      <c r="H17" s="193">
        <f>I17*J17</f>
        <v>0</v>
      </c>
      <c r="I17" s="187">
        <f>X17*Z17+Y17</f>
        <v>139.07375999999999</v>
      </c>
      <c r="J17" s="176"/>
      <c r="L17" s="180">
        <v>0.1</v>
      </c>
      <c r="M17" s="179">
        <v>252</v>
      </c>
      <c r="N17" s="185"/>
      <c r="O17" s="185"/>
      <c r="P17" s="185"/>
      <c r="Q17" s="185"/>
      <c r="R17" s="179"/>
      <c r="S17" s="185"/>
      <c r="T17" s="185"/>
      <c r="U17" s="185"/>
      <c r="V17" s="185"/>
      <c r="W17" s="179"/>
      <c r="X17" s="178">
        <f>(L17*M17+L18*M18+S17*T17)*6</f>
        <v>453.6</v>
      </c>
      <c r="Y17" s="185">
        <f>(P17*Q17*R17+V17*W17)*6</f>
        <v>0</v>
      </c>
      <c r="Z17" s="177">
        <v>0.30659999999999998</v>
      </c>
      <c r="AA17" s="176"/>
    </row>
    <row r="18" spans="1:27" x14ac:dyDescent="0.25">
      <c r="A18" s="403"/>
      <c r="B18" s="405"/>
      <c r="C18" s="402"/>
      <c r="D18" s="402"/>
      <c r="E18" s="185" t="s">
        <v>1077</v>
      </c>
      <c r="F18" s="185"/>
      <c r="G18" s="185"/>
      <c r="H18" s="181"/>
      <c r="I18" s="187"/>
      <c r="J18" s="176"/>
      <c r="L18" s="180">
        <v>0.2</v>
      </c>
      <c r="M18" s="179">
        <v>252</v>
      </c>
      <c r="N18" s="185"/>
      <c r="O18" s="185"/>
      <c r="P18" s="185"/>
      <c r="Q18" s="185"/>
      <c r="R18" s="179"/>
      <c r="S18" s="185"/>
      <c r="T18" s="185"/>
      <c r="U18" s="185"/>
      <c r="V18" s="185"/>
      <c r="W18" s="179"/>
      <c r="X18" s="178"/>
      <c r="Y18" s="185"/>
      <c r="Z18" s="177"/>
      <c r="AA18" s="176"/>
    </row>
    <row r="19" spans="1:27" x14ac:dyDescent="0.25">
      <c r="A19" s="403"/>
      <c r="B19" s="405"/>
      <c r="C19" s="402"/>
      <c r="D19" s="402" t="s">
        <v>1092</v>
      </c>
      <c r="E19" s="185" t="s">
        <v>1078</v>
      </c>
      <c r="F19" s="185"/>
      <c r="G19" s="185" t="s">
        <v>929</v>
      </c>
      <c r="H19" s="193">
        <f>I19*J19</f>
        <v>0</v>
      </c>
      <c r="I19" s="187">
        <f>X19*Z19+Y19</f>
        <v>231.78959999999998</v>
      </c>
      <c r="J19" s="176"/>
      <c r="L19" s="180">
        <v>0.2</v>
      </c>
      <c r="M19" s="179">
        <v>252</v>
      </c>
      <c r="N19" s="185"/>
      <c r="O19" s="185"/>
      <c r="P19" s="185"/>
      <c r="Q19" s="185"/>
      <c r="R19" s="179"/>
      <c r="S19" s="185"/>
      <c r="T19" s="185"/>
      <c r="U19" s="185"/>
      <c r="V19" s="185"/>
      <c r="W19" s="179"/>
      <c r="X19" s="178">
        <f>(L19*M19+L20*M20+S19*T19)*6</f>
        <v>756</v>
      </c>
      <c r="Y19" s="185">
        <f>(P19*Q19*R19+V19*W19)*6</f>
        <v>0</v>
      </c>
      <c r="Z19" s="177">
        <v>0.30659999999999998</v>
      </c>
      <c r="AA19" s="176"/>
    </row>
    <row r="20" spans="1:27" x14ac:dyDescent="0.25">
      <c r="A20" s="403"/>
      <c r="B20" s="405"/>
      <c r="C20" s="402"/>
      <c r="D20" s="402"/>
      <c r="E20" s="185" t="s">
        <v>1077</v>
      </c>
      <c r="F20" s="185"/>
      <c r="G20" s="185"/>
      <c r="H20" s="181"/>
      <c r="I20" s="187"/>
      <c r="J20" s="176"/>
      <c r="L20" s="180">
        <v>0.3</v>
      </c>
      <c r="M20" s="179">
        <v>252</v>
      </c>
      <c r="N20" s="185"/>
      <c r="O20" s="185"/>
      <c r="P20" s="185"/>
      <c r="Q20" s="185"/>
      <c r="R20" s="179"/>
      <c r="S20" s="185"/>
      <c r="T20" s="185"/>
      <c r="U20" s="185"/>
      <c r="V20" s="185"/>
      <c r="W20" s="179"/>
      <c r="X20" s="178"/>
      <c r="Y20" s="185"/>
      <c r="Z20" s="177"/>
      <c r="AA20" s="176"/>
    </row>
    <row r="21" spans="1:27" x14ac:dyDescent="0.25">
      <c r="A21" s="403"/>
      <c r="B21" s="405"/>
      <c r="C21" s="402"/>
      <c r="D21" s="402" t="s">
        <v>1091</v>
      </c>
      <c r="E21" s="185" t="s">
        <v>1078</v>
      </c>
      <c r="F21" s="185"/>
      <c r="G21" s="185" t="s">
        <v>929</v>
      </c>
      <c r="H21" s="193">
        <f>I21*J21</f>
        <v>0</v>
      </c>
      <c r="I21" s="187">
        <f>X21*Z21+Y21</f>
        <v>324.50544000000002</v>
      </c>
      <c r="J21" s="176"/>
      <c r="L21" s="180">
        <v>0.3</v>
      </c>
      <c r="M21" s="179">
        <v>252</v>
      </c>
      <c r="N21" s="185"/>
      <c r="O21" s="185"/>
      <c r="P21" s="185"/>
      <c r="Q21" s="185"/>
      <c r="R21" s="179"/>
      <c r="S21" s="185"/>
      <c r="T21" s="185"/>
      <c r="U21" s="185"/>
      <c r="V21" s="185"/>
      <c r="W21" s="179"/>
      <c r="X21" s="178">
        <f>(L21*M21+L22*M22+S21*T21)*6</f>
        <v>1058.4000000000001</v>
      </c>
      <c r="Y21" s="185">
        <f>(P21*Q21*R21+V21*W21)*6</f>
        <v>0</v>
      </c>
      <c r="Z21" s="177">
        <v>0.30659999999999998</v>
      </c>
      <c r="AA21" s="176"/>
    </row>
    <row r="22" spans="1:27" x14ac:dyDescent="0.25">
      <c r="A22" s="403"/>
      <c r="B22" s="405"/>
      <c r="C22" s="402"/>
      <c r="D22" s="402"/>
      <c r="E22" s="185" t="s">
        <v>1077</v>
      </c>
      <c r="F22" s="185"/>
      <c r="G22" s="185"/>
      <c r="H22" s="181"/>
      <c r="I22" s="187"/>
      <c r="J22" s="176"/>
      <c r="L22" s="180">
        <v>0.4</v>
      </c>
      <c r="M22" s="179">
        <v>252</v>
      </c>
      <c r="N22" s="185"/>
      <c r="O22" s="185"/>
      <c r="P22" s="185"/>
      <c r="Q22" s="185"/>
      <c r="R22" s="179"/>
      <c r="S22" s="185"/>
      <c r="T22" s="185"/>
      <c r="U22" s="185"/>
      <c r="V22" s="185"/>
      <c r="W22" s="179"/>
      <c r="X22" s="178"/>
      <c r="Y22" s="185"/>
      <c r="Z22" s="177"/>
      <c r="AA22" s="176"/>
    </row>
    <row r="23" spans="1:27" x14ac:dyDescent="0.25">
      <c r="A23" s="403"/>
      <c r="B23" s="405"/>
      <c r="C23" s="402"/>
      <c r="D23" s="402" t="s">
        <v>1090</v>
      </c>
      <c r="E23" s="185" t="s">
        <v>1078</v>
      </c>
      <c r="F23" s="185"/>
      <c r="G23" s="185" t="s">
        <v>929</v>
      </c>
      <c r="H23" s="193">
        <f>I23*J23</f>
        <v>0</v>
      </c>
      <c r="I23" s="187">
        <f>X23*Z23+Y23</f>
        <v>91.728000000000009</v>
      </c>
      <c r="J23" s="176"/>
      <c r="L23" s="180">
        <v>0.1</v>
      </c>
      <c r="M23" s="179">
        <v>52</v>
      </c>
      <c r="N23" s="185"/>
      <c r="O23" s="185"/>
      <c r="P23" s="185"/>
      <c r="Q23" s="185"/>
      <c r="R23" s="179"/>
      <c r="S23" s="185"/>
      <c r="T23" s="185"/>
      <c r="U23" s="185"/>
      <c r="V23" s="185"/>
      <c r="W23" s="179"/>
      <c r="X23" s="178">
        <f>(L23*M23+L24*M24+S23*T23)*6</f>
        <v>93.600000000000009</v>
      </c>
      <c r="Y23" s="185">
        <f>(P23*Q23*R23+V23*W23)*6</f>
        <v>0</v>
      </c>
      <c r="Z23" s="177">
        <v>0.98</v>
      </c>
      <c r="AA23" s="176"/>
    </row>
    <row r="24" spans="1:27" x14ac:dyDescent="0.25">
      <c r="A24" s="403"/>
      <c r="B24" s="405"/>
      <c r="C24" s="402"/>
      <c r="D24" s="402"/>
      <c r="E24" s="185" t="s">
        <v>1077</v>
      </c>
      <c r="F24" s="185"/>
      <c r="G24" s="185"/>
      <c r="H24" s="181"/>
      <c r="I24" s="187"/>
      <c r="J24" s="176"/>
      <c r="L24" s="180">
        <v>0.2</v>
      </c>
      <c r="M24" s="179">
        <v>52</v>
      </c>
      <c r="N24" s="185"/>
      <c r="O24" s="185"/>
      <c r="P24" s="185"/>
      <c r="Q24" s="185"/>
      <c r="R24" s="179"/>
      <c r="S24" s="185"/>
      <c r="T24" s="185"/>
      <c r="U24" s="185"/>
      <c r="V24" s="185"/>
      <c r="W24" s="179"/>
      <c r="X24" s="178"/>
      <c r="Y24" s="185"/>
      <c r="Z24" s="177"/>
      <c r="AA24" s="176"/>
    </row>
    <row r="25" spans="1:27" x14ac:dyDescent="0.25">
      <c r="A25" s="403"/>
      <c r="B25" s="405"/>
      <c r="C25" s="402"/>
      <c r="D25" s="402" t="s">
        <v>1089</v>
      </c>
      <c r="E25" s="185" t="s">
        <v>1078</v>
      </c>
      <c r="F25" s="185"/>
      <c r="G25" s="185" t="s">
        <v>929</v>
      </c>
      <c r="H25" s="193">
        <f>I25*J25</f>
        <v>0</v>
      </c>
      <c r="I25" s="187">
        <f>X25*Z25+Y25</f>
        <v>47.829599999999999</v>
      </c>
      <c r="J25" s="176"/>
      <c r="L25" s="180">
        <v>0.2</v>
      </c>
      <c r="M25" s="179">
        <v>52</v>
      </c>
      <c r="N25" s="185"/>
      <c r="O25" s="185"/>
      <c r="P25" s="185"/>
      <c r="Q25" s="185"/>
      <c r="R25" s="179"/>
      <c r="S25" s="185"/>
      <c r="T25" s="185"/>
      <c r="U25" s="185"/>
      <c r="V25" s="185"/>
      <c r="W25" s="179"/>
      <c r="X25" s="178">
        <f>(L25*M25+L26*M26+S25*T25)*6</f>
        <v>156</v>
      </c>
      <c r="Y25" s="185">
        <f>(P25*Q25*R25+V25*W25)*6</f>
        <v>0</v>
      </c>
      <c r="Z25" s="177">
        <v>0.30659999999999998</v>
      </c>
      <c r="AA25" s="176"/>
    </row>
    <row r="26" spans="1:27" x14ac:dyDescent="0.25">
      <c r="A26" s="403"/>
      <c r="B26" s="405"/>
      <c r="C26" s="402"/>
      <c r="D26" s="402"/>
      <c r="E26" s="185" t="s">
        <v>1077</v>
      </c>
      <c r="F26" s="185"/>
      <c r="G26" s="185"/>
      <c r="H26" s="181"/>
      <c r="I26" s="187"/>
      <c r="J26" s="176"/>
      <c r="L26" s="180">
        <v>0.3</v>
      </c>
      <c r="M26" s="179">
        <v>52</v>
      </c>
      <c r="N26" s="185"/>
      <c r="O26" s="185"/>
      <c r="P26" s="185"/>
      <c r="Q26" s="185"/>
      <c r="R26" s="179"/>
      <c r="S26" s="185"/>
      <c r="T26" s="185"/>
      <c r="U26" s="185"/>
      <c r="V26" s="185"/>
      <c r="W26" s="179"/>
      <c r="X26" s="178"/>
      <c r="Y26" s="185"/>
      <c r="Z26" s="177"/>
      <c r="AA26" s="176"/>
    </row>
    <row r="27" spans="1:27" x14ac:dyDescent="0.25">
      <c r="A27" s="403"/>
      <c r="B27" s="405"/>
      <c r="C27" s="402"/>
      <c r="D27" s="402" t="s">
        <v>1088</v>
      </c>
      <c r="E27" s="185" t="s">
        <v>1078</v>
      </c>
      <c r="F27" s="185"/>
      <c r="G27" s="185" t="s">
        <v>929</v>
      </c>
      <c r="H27" s="193">
        <f>I27*J27</f>
        <v>0</v>
      </c>
      <c r="I27" s="187">
        <f>X27*Z27+Y27</f>
        <v>66.961439999999996</v>
      </c>
      <c r="J27" s="176"/>
      <c r="L27" s="180">
        <v>0.3</v>
      </c>
      <c r="M27" s="179">
        <v>52</v>
      </c>
      <c r="N27" s="185"/>
      <c r="O27" s="185"/>
      <c r="P27" s="185"/>
      <c r="Q27" s="185"/>
      <c r="R27" s="179"/>
      <c r="S27" s="185"/>
      <c r="T27" s="185"/>
      <c r="U27" s="185"/>
      <c r="V27" s="185"/>
      <c r="W27" s="179"/>
      <c r="X27" s="178">
        <f>(L27*M27+L28*M28+S27*T27)*6</f>
        <v>218.39999999999998</v>
      </c>
      <c r="Y27" s="185">
        <f>(P27*Q27*R27+V27*W27)*6</f>
        <v>0</v>
      </c>
      <c r="Z27" s="177">
        <v>0.30659999999999998</v>
      </c>
      <c r="AA27" s="176"/>
    </row>
    <row r="28" spans="1:27" x14ac:dyDescent="0.25">
      <c r="A28" s="403"/>
      <c r="B28" s="405"/>
      <c r="C28" s="402"/>
      <c r="D28" s="402"/>
      <c r="E28" s="185" t="s">
        <v>1077</v>
      </c>
      <c r="F28" s="185"/>
      <c r="G28" s="185"/>
      <c r="H28" s="181"/>
      <c r="I28" s="187"/>
      <c r="J28" s="176"/>
      <c r="L28" s="180">
        <v>0.4</v>
      </c>
      <c r="M28" s="179">
        <v>52</v>
      </c>
      <c r="N28" s="185"/>
      <c r="O28" s="185"/>
      <c r="P28" s="185"/>
      <c r="Q28" s="185"/>
      <c r="R28" s="179"/>
      <c r="S28" s="185"/>
      <c r="T28" s="185"/>
      <c r="U28" s="185"/>
      <c r="V28" s="185"/>
      <c r="W28" s="179"/>
      <c r="X28" s="178"/>
      <c r="Y28" s="185"/>
      <c r="Z28" s="177"/>
      <c r="AA28" s="176"/>
    </row>
    <row r="29" spans="1:27" x14ac:dyDescent="0.25">
      <c r="A29" s="403"/>
      <c r="B29" s="405"/>
      <c r="C29" s="402"/>
      <c r="D29" s="402" t="s">
        <v>1087</v>
      </c>
      <c r="E29" s="185" t="s">
        <v>1078</v>
      </c>
      <c r="F29" s="185"/>
      <c r="G29" s="185" t="s">
        <v>929</v>
      </c>
      <c r="H29" s="193">
        <f>I29*J29</f>
        <v>0</v>
      </c>
      <c r="I29" s="187">
        <f>X29*Z29+Y29</f>
        <v>6.62256</v>
      </c>
      <c r="J29" s="176"/>
      <c r="L29" s="180">
        <v>0.1</v>
      </c>
      <c r="M29" s="179">
        <v>12</v>
      </c>
      <c r="N29" s="185"/>
      <c r="O29" s="185"/>
      <c r="P29" s="185"/>
      <c r="Q29" s="185"/>
      <c r="R29" s="179"/>
      <c r="S29" s="185"/>
      <c r="T29" s="185"/>
      <c r="U29" s="185"/>
      <c r="V29" s="185"/>
      <c r="W29" s="179"/>
      <c r="X29" s="178">
        <f>(L29*M29+L30*M30+S29*T29)*6</f>
        <v>21.6</v>
      </c>
      <c r="Y29" s="185">
        <f>(P29*Q29*R29+V29*W29)*6</f>
        <v>0</v>
      </c>
      <c r="Z29" s="177">
        <v>0.30659999999999998</v>
      </c>
      <c r="AA29" s="176"/>
    </row>
    <row r="30" spans="1:27" x14ac:dyDescent="0.25">
      <c r="A30" s="403"/>
      <c r="B30" s="405"/>
      <c r="C30" s="402"/>
      <c r="D30" s="402"/>
      <c r="E30" s="185" t="s">
        <v>1077</v>
      </c>
      <c r="F30" s="185"/>
      <c r="G30" s="185"/>
      <c r="H30" s="181"/>
      <c r="I30" s="187"/>
      <c r="J30" s="176"/>
      <c r="L30" s="180">
        <v>0.2</v>
      </c>
      <c r="M30" s="179">
        <v>12</v>
      </c>
      <c r="N30" s="185"/>
      <c r="O30" s="185"/>
      <c r="P30" s="185"/>
      <c r="Q30" s="185"/>
      <c r="R30" s="179"/>
      <c r="S30" s="185"/>
      <c r="T30" s="185"/>
      <c r="U30" s="185"/>
      <c r="V30" s="185"/>
      <c r="W30" s="179"/>
      <c r="X30" s="178"/>
      <c r="Y30" s="185"/>
      <c r="Z30" s="177"/>
      <c r="AA30" s="176"/>
    </row>
    <row r="31" spans="1:27" x14ac:dyDescent="0.25">
      <c r="A31" s="403"/>
      <c r="B31" s="405"/>
      <c r="C31" s="402"/>
      <c r="D31" s="402" t="s">
        <v>1086</v>
      </c>
      <c r="E31" s="185" t="s">
        <v>1078</v>
      </c>
      <c r="F31" s="185"/>
      <c r="G31" s="185" t="s">
        <v>929</v>
      </c>
      <c r="H31" s="193">
        <f>I31*J31</f>
        <v>0</v>
      </c>
      <c r="I31" s="187">
        <f>X31*Z31+Y31</f>
        <v>11.037599999999999</v>
      </c>
      <c r="J31" s="176"/>
      <c r="L31" s="180">
        <v>0.2</v>
      </c>
      <c r="M31" s="179">
        <v>12</v>
      </c>
      <c r="N31" s="185"/>
      <c r="O31" s="185"/>
      <c r="P31" s="185"/>
      <c r="Q31" s="185"/>
      <c r="R31" s="179"/>
      <c r="S31" s="185"/>
      <c r="T31" s="185"/>
      <c r="U31" s="185"/>
      <c r="V31" s="185"/>
      <c r="W31" s="179"/>
      <c r="X31" s="178">
        <f>(L31*M31+L32*M32+S31*T31)*6</f>
        <v>36</v>
      </c>
      <c r="Y31" s="185">
        <f>(P31*Q31*R31+V31*W31)*6</f>
        <v>0</v>
      </c>
      <c r="Z31" s="177">
        <v>0.30659999999999998</v>
      </c>
      <c r="AA31" s="176"/>
    </row>
    <row r="32" spans="1:27" x14ac:dyDescent="0.25">
      <c r="A32" s="403"/>
      <c r="B32" s="405"/>
      <c r="C32" s="402"/>
      <c r="D32" s="402"/>
      <c r="E32" s="185" t="s">
        <v>1077</v>
      </c>
      <c r="F32" s="185"/>
      <c r="G32" s="185"/>
      <c r="H32" s="181"/>
      <c r="I32" s="187"/>
      <c r="J32" s="176"/>
      <c r="L32" s="180">
        <v>0.3</v>
      </c>
      <c r="M32" s="179">
        <v>12</v>
      </c>
      <c r="N32" s="185"/>
      <c r="O32" s="185"/>
      <c r="P32" s="185"/>
      <c r="Q32" s="185"/>
      <c r="R32" s="179"/>
      <c r="S32" s="185"/>
      <c r="T32" s="185"/>
      <c r="U32" s="185"/>
      <c r="V32" s="185"/>
      <c r="W32" s="179"/>
      <c r="X32" s="178"/>
      <c r="Y32" s="185"/>
      <c r="Z32" s="177"/>
      <c r="AA32" s="176"/>
    </row>
    <row r="33" spans="1:27" x14ac:dyDescent="0.25">
      <c r="A33" s="403"/>
      <c r="B33" s="405"/>
      <c r="C33" s="402"/>
      <c r="D33" s="402" t="s">
        <v>1085</v>
      </c>
      <c r="E33" s="185" t="s">
        <v>1078</v>
      </c>
      <c r="F33" s="185"/>
      <c r="G33" s="185" t="s">
        <v>929</v>
      </c>
      <c r="H33" s="193">
        <f>I33*J33</f>
        <v>0</v>
      </c>
      <c r="I33" s="187">
        <f>X33*Z33+Y33</f>
        <v>15.452640000000001</v>
      </c>
      <c r="J33" s="176"/>
      <c r="L33" s="180">
        <v>0.3</v>
      </c>
      <c r="M33" s="179">
        <v>12</v>
      </c>
      <c r="N33" s="185"/>
      <c r="O33" s="185"/>
      <c r="P33" s="185"/>
      <c r="Q33" s="185"/>
      <c r="R33" s="179"/>
      <c r="S33" s="185"/>
      <c r="T33" s="185"/>
      <c r="U33" s="185"/>
      <c r="V33" s="185"/>
      <c r="W33" s="179"/>
      <c r="X33" s="178">
        <f>(L33*M33+L34*M34+S33*T33)*6</f>
        <v>50.400000000000006</v>
      </c>
      <c r="Y33" s="185">
        <f>(P33*Q33*R33+V33*W33)*6</f>
        <v>0</v>
      </c>
      <c r="Z33" s="177">
        <v>0.30659999999999998</v>
      </c>
      <c r="AA33" s="176"/>
    </row>
    <row r="34" spans="1:27" x14ac:dyDescent="0.25">
      <c r="A34" s="403"/>
      <c r="B34" s="405"/>
      <c r="C34" s="402"/>
      <c r="D34" s="402"/>
      <c r="E34" s="185" t="s">
        <v>1077</v>
      </c>
      <c r="F34" s="185"/>
      <c r="G34" s="185"/>
      <c r="H34" s="181"/>
      <c r="I34" s="187"/>
      <c r="J34" s="176"/>
      <c r="L34" s="180">
        <v>0.4</v>
      </c>
      <c r="M34" s="179">
        <v>12</v>
      </c>
      <c r="N34" s="185"/>
      <c r="O34" s="185"/>
      <c r="P34" s="185"/>
      <c r="Q34" s="185"/>
      <c r="R34" s="179"/>
      <c r="S34" s="185"/>
      <c r="T34" s="185"/>
      <c r="U34" s="185"/>
      <c r="V34" s="185"/>
      <c r="W34" s="179"/>
      <c r="X34" s="178"/>
      <c r="Y34" s="185"/>
      <c r="Z34" s="177"/>
      <c r="AA34" s="176"/>
    </row>
    <row r="35" spans="1:27" x14ac:dyDescent="0.25">
      <c r="A35" s="403"/>
      <c r="B35" s="405"/>
      <c r="C35" s="402"/>
      <c r="D35" s="402" t="s">
        <v>1084</v>
      </c>
      <c r="E35" s="185" t="s">
        <v>1078</v>
      </c>
      <c r="F35" s="185"/>
      <c r="G35" s="185" t="s">
        <v>929</v>
      </c>
      <c r="H35" s="193">
        <f>I35*J35</f>
        <v>0</v>
      </c>
      <c r="I35" s="187">
        <f>X35*Z35+Y35</f>
        <v>1.1037600000000001</v>
      </c>
      <c r="J35" s="176"/>
      <c r="L35" s="180">
        <v>0.1</v>
      </c>
      <c r="M35" s="179">
        <v>2</v>
      </c>
      <c r="N35" s="185"/>
      <c r="O35" s="185"/>
      <c r="P35" s="185"/>
      <c r="Q35" s="185"/>
      <c r="R35" s="179"/>
      <c r="S35" s="185"/>
      <c r="T35" s="185"/>
      <c r="U35" s="185"/>
      <c r="V35" s="185"/>
      <c r="W35" s="179"/>
      <c r="X35" s="178">
        <f>(L35*M35+L36*M36+S35*T35)*6</f>
        <v>3.6000000000000005</v>
      </c>
      <c r="Y35" s="185">
        <f>(P35*Q35*R35+V35*W35)*6</f>
        <v>0</v>
      </c>
      <c r="Z35" s="177">
        <v>0.30659999999999998</v>
      </c>
      <c r="AA35" s="176"/>
    </row>
    <row r="36" spans="1:27" x14ac:dyDescent="0.25">
      <c r="A36" s="403"/>
      <c r="B36" s="405"/>
      <c r="C36" s="402"/>
      <c r="D36" s="402"/>
      <c r="E36" s="185" t="s">
        <v>1077</v>
      </c>
      <c r="F36" s="185"/>
      <c r="G36" s="185"/>
      <c r="H36" s="181"/>
      <c r="I36" s="187"/>
      <c r="J36" s="176"/>
      <c r="L36" s="180">
        <v>0.2</v>
      </c>
      <c r="M36" s="179">
        <v>2</v>
      </c>
      <c r="N36" s="185"/>
      <c r="O36" s="185"/>
      <c r="P36" s="185"/>
      <c r="Q36" s="185"/>
      <c r="R36" s="179"/>
      <c r="S36" s="185"/>
      <c r="T36" s="185"/>
      <c r="U36" s="185"/>
      <c r="V36" s="185"/>
      <c r="W36" s="179"/>
      <c r="X36" s="178"/>
      <c r="Y36" s="185"/>
      <c r="Z36" s="177"/>
      <c r="AA36" s="176"/>
    </row>
    <row r="37" spans="1:27" x14ac:dyDescent="0.25">
      <c r="A37" s="403"/>
      <c r="B37" s="405"/>
      <c r="C37" s="402"/>
      <c r="D37" s="402" t="s">
        <v>1083</v>
      </c>
      <c r="E37" s="185" t="s">
        <v>1078</v>
      </c>
      <c r="F37" s="185"/>
      <c r="G37" s="185" t="s">
        <v>929</v>
      </c>
      <c r="H37" s="193">
        <f>I37*J37</f>
        <v>0</v>
      </c>
      <c r="I37" s="187">
        <f>X37*Z37+Y37</f>
        <v>1.8395999999999999</v>
      </c>
      <c r="J37" s="176"/>
      <c r="L37" s="180">
        <v>0.2</v>
      </c>
      <c r="M37" s="179">
        <v>2</v>
      </c>
      <c r="N37" s="185"/>
      <c r="O37" s="185"/>
      <c r="P37" s="185"/>
      <c r="Q37" s="185"/>
      <c r="R37" s="179"/>
      <c r="S37" s="185"/>
      <c r="T37" s="185"/>
      <c r="U37" s="185"/>
      <c r="V37" s="185"/>
      <c r="W37" s="179"/>
      <c r="X37" s="178">
        <f>(L37*M37+L38*M38+S37*T37)*6</f>
        <v>6</v>
      </c>
      <c r="Y37" s="185">
        <f>(P37*Q37*R37+V37*W37)*6</f>
        <v>0</v>
      </c>
      <c r="Z37" s="177">
        <v>0.30659999999999998</v>
      </c>
      <c r="AA37" s="176"/>
    </row>
    <row r="38" spans="1:27" x14ac:dyDescent="0.25">
      <c r="A38" s="403"/>
      <c r="B38" s="405"/>
      <c r="C38" s="402"/>
      <c r="D38" s="402"/>
      <c r="E38" s="185" t="s">
        <v>1077</v>
      </c>
      <c r="F38" s="185"/>
      <c r="G38" s="185"/>
      <c r="H38" s="181"/>
      <c r="I38" s="187"/>
      <c r="J38" s="176"/>
      <c r="L38" s="180">
        <v>0.3</v>
      </c>
      <c r="M38" s="179">
        <v>2</v>
      </c>
      <c r="N38" s="185"/>
      <c r="O38" s="185"/>
      <c r="P38" s="185"/>
      <c r="Q38" s="185"/>
      <c r="R38" s="179"/>
      <c r="S38" s="185"/>
      <c r="T38" s="185"/>
      <c r="U38" s="185"/>
      <c r="V38" s="185"/>
      <c r="W38" s="179"/>
      <c r="X38" s="178"/>
      <c r="Y38" s="185"/>
      <c r="Z38" s="177"/>
      <c r="AA38" s="176"/>
    </row>
    <row r="39" spans="1:27" x14ac:dyDescent="0.25">
      <c r="A39" s="403"/>
      <c r="B39" s="405"/>
      <c r="C39" s="402"/>
      <c r="D39" s="402" t="s">
        <v>1082</v>
      </c>
      <c r="E39" s="185" t="s">
        <v>1078</v>
      </c>
      <c r="F39" s="185"/>
      <c r="G39" s="185" t="s">
        <v>929</v>
      </c>
      <c r="H39" s="193">
        <f>I39*J39</f>
        <v>0</v>
      </c>
      <c r="I39" s="187">
        <f>X39*Z39+Y39</f>
        <v>2.5754399999999995</v>
      </c>
      <c r="J39" s="176"/>
      <c r="L39" s="180">
        <v>0.3</v>
      </c>
      <c r="M39" s="179">
        <v>2</v>
      </c>
      <c r="N39" s="185"/>
      <c r="O39" s="185"/>
      <c r="P39" s="185"/>
      <c r="Q39" s="185"/>
      <c r="R39" s="179"/>
      <c r="S39" s="185"/>
      <c r="T39" s="185"/>
      <c r="U39" s="185"/>
      <c r="V39" s="185"/>
      <c r="W39" s="179"/>
      <c r="X39" s="178">
        <f>(L39*M39+L40*M40+S39*T39)*6</f>
        <v>8.3999999999999986</v>
      </c>
      <c r="Y39" s="185">
        <f>(P39*Q39*R39+V39*W39)*6</f>
        <v>0</v>
      </c>
      <c r="Z39" s="177">
        <v>0.30659999999999998</v>
      </c>
      <c r="AA39" s="176"/>
    </row>
    <row r="40" spans="1:27" x14ac:dyDescent="0.25">
      <c r="A40" s="403"/>
      <c r="B40" s="405"/>
      <c r="C40" s="402"/>
      <c r="D40" s="402"/>
      <c r="E40" s="185" t="s">
        <v>1077</v>
      </c>
      <c r="F40" s="185"/>
      <c r="G40" s="185"/>
      <c r="H40" s="181"/>
      <c r="I40" s="187"/>
      <c r="J40" s="176"/>
      <c r="L40" s="180">
        <v>0.4</v>
      </c>
      <c r="M40" s="179">
        <v>2</v>
      </c>
      <c r="N40" s="185"/>
      <c r="O40" s="185"/>
      <c r="P40" s="185"/>
      <c r="Q40" s="185"/>
      <c r="R40" s="179"/>
      <c r="S40" s="185"/>
      <c r="T40" s="185"/>
      <c r="U40" s="185"/>
      <c r="V40" s="185"/>
      <c r="W40" s="179"/>
      <c r="X40" s="178"/>
      <c r="Y40" s="185"/>
      <c r="Z40" s="177"/>
      <c r="AA40" s="176"/>
    </row>
    <row r="41" spans="1:27" x14ac:dyDescent="0.25">
      <c r="A41" s="403"/>
      <c r="B41" s="405"/>
      <c r="C41" s="402"/>
      <c r="D41" s="402" t="s">
        <v>1081</v>
      </c>
      <c r="E41" s="185" t="s">
        <v>1078</v>
      </c>
      <c r="F41" s="185"/>
      <c r="G41" s="185" t="s">
        <v>929</v>
      </c>
      <c r="H41" s="193">
        <f>I41*J41</f>
        <v>0</v>
      </c>
      <c r="I41" s="187">
        <f>X41*Z41+Y41</f>
        <v>0.55188000000000004</v>
      </c>
      <c r="J41" s="176"/>
      <c r="L41" s="180">
        <v>0.1</v>
      </c>
      <c r="M41" s="179">
        <v>1</v>
      </c>
      <c r="N41" s="185"/>
      <c r="O41" s="185"/>
      <c r="P41" s="185"/>
      <c r="Q41" s="185"/>
      <c r="R41" s="179"/>
      <c r="S41" s="185"/>
      <c r="T41" s="185"/>
      <c r="U41" s="185"/>
      <c r="V41" s="185"/>
      <c r="W41" s="179"/>
      <c r="X41" s="178">
        <f>(L41*M41+L42*M42+S41*T41)*6</f>
        <v>1.8000000000000003</v>
      </c>
      <c r="Y41" s="185">
        <f>(P41*Q41*R41+V41*W41)*6</f>
        <v>0</v>
      </c>
      <c r="Z41" s="177">
        <v>0.30659999999999998</v>
      </c>
      <c r="AA41" s="176"/>
    </row>
    <row r="42" spans="1:27" x14ac:dyDescent="0.25">
      <c r="A42" s="403"/>
      <c r="B42" s="405"/>
      <c r="C42" s="402"/>
      <c r="D42" s="402"/>
      <c r="E42" s="185" t="s">
        <v>1077</v>
      </c>
      <c r="F42" s="185"/>
      <c r="G42" s="185"/>
      <c r="H42" s="181"/>
      <c r="I42" s="187"/>
      <c r="J42" s="176"/>
      <c r="L42" s="180">
        <v>0.2</v>
      </c>
      <c r="M42" s="179">
        <v>1</v>
      </c>
      <c r="N42" s="185"/>
      <c r="O42" s="185"/>
      <c r="P42" s="185"/>
      <c r="Q42" s="185"/>
      <c r="R42" s="179"/>
      <c r="S42" s="185"/>
      <c r="T42" s="185"/>
      <c r="U42" s="185"/>
      <c r="V42" s="185"/>
      <c r="W42" s="179"/>
      <c r="X42" s="178"/>
      <c r="Y42" s="185"/>
      <c r="Z42" s="177"/>
      <c r="AA42" s="176"/>
    </row>
    <row r="43" spans="1:27" x14ac:dyDescent="0.25">
      <c r="A43" s="403"/>
      <c r="B43" s="405"/>
      <c r="C43" s="402"/>
      <c r="D43" s="402" t="s">
        <v>1080</v>
      </c>
      <c r="E43" s="185" t="s">
        <v>1078</v>
      </c>
      <c r="F43" s="185"/>
      <c r="G43" s="185" t="s">
        <v>929</v>
      </c>
      <c r="H43" s="193">
        <f>I43*J43</f>
        <v>0</v>
      </c>
      <c r="I43" s="187">
        <f>X43*Z43+Y43</f>
        <v>0.91979999999999995</v>
      </c>
      <c r="J43" s="176"/>
      <c r="L43" s="180">
        <v>0.2</v>
      </c>
      <c r="M43" s="179">
        <v>1</v>
      </c>
      <c r="N43" s="185"/>
      <c r="O43" s="185"/>
      <c r="P43" s="185"/>
      <c r="Q43" s="185"/>
      <c r="R43" s="179"/>
      <c r="S43" s="185"/>
      <c r="T43" s="185"/>
      <c r="U43" s="185"/>
      <c r="V43" s="185"/>
      <c r="W43" s="179"/>
      <c r="X43" s="178">
        <f>(L43*M43+L44*M44+S43*T43)*6</f>
        <v>3</v>
      </c>
      <c r="Y43" s="185">
        <f>(P43*Q43*R43+V43*W43)*6</f>
        <v>0</v>
      </c>
      <c r="Z43" s="177">
        <v>0.30659999999999998</v>
      </c>
      <c r="AA43" s="176"/>
    </row>
    <row r="44" spans="1:27" x14ac:dyDescent="0.25">
      <c r="A44" s="403"/>
      <c r="B44" s="405"/>
      <c r="C44" s="402"/>
      <c r="D44" s="402"/>
      <c r="E44" s="185" t="s">
        <v>1077</v>
      </c>
      <c r="F44" s="185"/>
      <c r="G44" s="185"/>
      <c r="H44" s="181"/>
      <c r="I44" s="187"/>
      <c r="J44" s="176"/>
      <c r="L44" s="180">
        <v>0.3</v>
      </c>
      <c r="M44" s="179">
        <v>1</v>
      </c>
      <c r="N44" s="185"/>
      <c r="O44" s="185"/>
      <c r="P44" s="185"/>
      <c r="Q44" s="185"/>
      <c r="R44" s="179"/>
      <c r="S44" s="185"/>
      <c r="T44" s="185"/>
      <c r="U44" s="185"/>
      <c r="V44" s="185"/>
      <c r="W44" s="179"/>
      <c r="X44" s="178"/>
      <c r="Y44" s="185"/>
      <c r="Z44" s="177"/>
      <c r="AA44" s="176"/>
    </row>
    <row r="45" spans="1:27" x14ac:dyDescent="0.25">
      <c r="A45" s="403"/>
      <c r="B45" s="405"/>
      <c r="C45" s="402"/>
      <c r="D45" s="402" t="s">
        <v>1079</v>
      </c>
      <c r="E45" s="185" t="s">
        <v>1078</v>
      </c>
      <c r="F45" s="185"/>
      <c r="G45" s="185" t="s">
        <v>929</v>
      </c>
      <c r="H45" s="193">
        <f>I45*J45</f>
        <v>0</v>
      </c>
      <c r="I45" s="187">
        <f>X45*Z45+Y45</f>
        <v>1.2877199999999998</v>
      </c>
      <c r="J45" s="176"/>
      <c r="L45" s="180">
        <v>0.3</v>
      </c>
      <c r="M45" s="179">
        <v>1</v>
      </c>
      <c r="N45" s="185"/>
      <c r="O45" s="185"/>
      <c r="P45" s="185"/>
      <c r="Q45" s="185"/>
      <c r="R45" s="179"/>
      <c r="S45" s="185"/>
      <c r="T45" s="185"/>
      <c r="U45" s="185"/>
      <c r="V45" s="185"/>
      <c r="W45" s="179"/>
      <c r="X45" s="178">
        <f>(L45*M45+L46*M46+S45*T45)*6</f>
        <v>4.1999999999999993</v>
      </c>
      <c r="Y45" s="185">
        <f>(P45*Q45*R45+V45*W45)*6</f>
        <v>0</v>
      </c>
      <c r="Z45" s="177">
        <v>0.30659999999999998</v>
      </c>
      <c r="AA45" s="176"/>
    </row>
    <row r="46" spans="1:27" x14ac:dyDescent="0.25">
      <c r="A46" s="403"/>
      <c r="B46" s="405"/>
      <c r="C46" s="402"/>
      <c r="D46" s="402"/>
      <c r="E46" s="185" t="s">
        <v>1077</v>
      </c>
      <c r="F46" s="185"/>
      <c r="G46" s="185"/>
      <c r="H46" s="181"/>
      <c r="I46" s="187"/>
      <c r="J46" s="176"/>
      <c r="L46" s="180">
        <v>0.4</v>
      </c>
      <c r="M46" s="179">
        <v>1</v>
      </c>
      <c r="N46" s="185"/>
      <c r="O46" s="185"/>
      <c r="P46" s="185"/>
      <c r="Q46" s="185"/>
      <c r="R46" s="179"/>
      <c r="S46" s="185"/>
      <c r="T46" s="185"/>
      <c r="U46" s="185"/>
      <c r="V46" s="185"/>
      <c r="W46" s="179"/>
      <c r="X46" s="178"/>
      <c r="Y46" s="185"/>
      <c r="Z46" s="177"/>
      <c r="AA46" s="176"/>
    </row>
    <row r="47" spans="1:27" ht="30" x14ac:dyDescent="0.25">
      <c r="A47" s="403"/>
      <c r="B47" s="405"/>
      <c r="C47" s="402" t="s">
        <v>1076</v>
      </c>
      <c r="D47" s="185" t="s">
        <v>1075</v>
      </c>
      <c r="E47" s="185"/>
      <c r="F47" s="185"/>
      <c r="G47" s="185"/>
      <c r="H47" s="193">
        <f>I47*J47</f>
        <v>0</v>
      </c>
      <c r="I47" s="187">
        <f>X47*Z47+Y47</f>
        <v>0</v>
      </c>
      <c r="J47" s="176"/>
      <c r="L47" s="180"/>
      <c r="M47" s="179"/>
      <c r="N47" s="185"/>
      <c r="O47" s="185"/>
      <c r="P47" s="185"/>
      <c r="Q47" s="185"/>
      <c r="R47" s="179"/>
      <c r="S47" s="185"/>
      <c r="T47" s="185"/>
      <c r="U47" s="185"/>
      <c r="V47" s="185"/>
      <c r="W47" s="179"/>
      <c r="X47" s="178"/>
      <c r="Y47" s="185"/>
      <c r="Z47" s="177"/>
      <c r="AA47" s="176"/>
    </row>
    <row r="48" spans="1:27" x14ac:dyDescent="0.25">
      <c r="A48" s="403"/>
      <c r="B48" s="405"/>
      <c r="C48" s="402"/>
      <c r="D48" s="185"/>
      <c r="E48" s="185"/>
      <c r="F48" s="185"/>
      <c r="G48" s="185"/>
      <c r="H48" s="181"/>
      <c r="I48" s="181"/>
      <c r="J48" s="176"/>
      <c r="L48" s="180"/>
      <c r="M48" s="179"/>
      <c r="N48" s="185"/>
      <c r="O48" s="185"/>
      <c r="P48" s="185"/>
      <c r="Q48" s="185"/>
      <c r="R48" s="179"/>
      <c r="S48" s="185"/>
      <c r="T48" s="185"/>
      <c r="U48" s="185"/>
      <c r="V48" s="185"/>
      <c r="W48" s="179"/>
      <c r="X48" s="178"/>
      <c r="Y48" s="185"/>
      <c r="Z48" s="177"/>
      <c r="AA48" s="176"/>
    </row>
    <row r="49" spans="1:27" x14ac:dyDescent="0.25">
      <c r="A49" s="403"/>
      <c r="B49" s="405"/>
      <c r="C49" s="402"/>
      <c r="D49" s="185"/>
      <c r="E49" s="185"/>
      <c r="F49" s="185"/>
      <c r="G49" s="185"/>
      <c r="H49" s="181"/>
      <c r="I49" s="181"/>
      <c r="J49" s="176"/>
      <c r="L49" s="180"/>
      <c r="M49" s="179"/>
      <c r="N49" s="185"/>
      <c r="O49" s="185"/>
      <c r="P49" s="185"/>
      <c r="Q49" s="185"/>
      <c r="R49" s="179"/>
      <c r="S49" s="185"/>
      <c r="T49" s="185"/>
      <c r="U49" s="185"/>
      <c r="V49" s="185"/>
      <c r="W49" s="179"/>
      <c r="X49" s="178"/>
      <c r="Y49" s="185"/>
      <c r="Z49" s="177"/>
      <c r="AA49" s="176"/>
    </row>
    <row r="50" spans="1:27" ht="30" x14ac:dyDescent="0.25">
      <c r="A50" s="403"/>
      <c r="B50" s="405"/>
      <c r="C50" s="402"/>
      <c r="D50" s="185" t="s">
        <v>1074</v>
      </c>
      <c r="E50" s="185" t="s">
        <v>1073</v>
      </c>
      <c r="F50" s="185"/>
      <c r="G50" s="185"/>
      <c r="H50" s="187">
        <f>H51+H55</f>
        <v>29934927.294</v>
      </c>
      <c r="I50" s="187">
        <f>(I51*J51+I55*J55)/(J51+J55)</f>
        <v>157.38740631654215</v>
      </c>
      <c r="J50" s="176"/>
      <c r="L50" s="180"/>
      <c r="M50" s="179"/>
      <c r="N50" s="185"/>
      <c r="O50" s="185"/>
      <c r="P50" s="185"/>
      <c r="Q50" s="185"/>
      <c r="R50" s="179"/>
      <c r="S50" s="185"/>
      <c r="T50" s="185"/>
      <c r="U50" s="185"/>
      <c r="V50" s="185"/>
      <c r="W50" s="179"/>
      <c r="X50" s="178"/>
      <c r="Y50" s="185"/>
      <c r="Z50" s="177"/>
      <c r="AA50" s="176"/>
    </row>
    <row r="51" spans="1:27" ht="45" x14ac:dyDescent="0.25">
      <c r="A51" s="403"/>
      <c r="B51" s="405"/>
      <c r="C51" s="402"/>
      <c r="D51" s="185" t="s">
        <v>1072</v>
      </c>
      <c r="E51" s="185" t="s">
        <v>1071</v>
      </c>
      <c r="F51" s="185" t="s">
        <v>1070</v>
      </c>
      <c r="G51" s="185" t="s">
        <v>929</v>
      </c>
      <c r="H51" s="193">
        <f>I51*J51</f>
        <v>5002642.392</v>
      </c>
      <c r="I51" s="193">
        <f>X51*Z51+Y51</f>
        <v>51.545999999999999</v>
      </c>
      <c r="J51" s="196">
        <v>97052</v>
      </c>
      <c r="L51" s="180">
        <v>16</v>
      </c>
      <c r="M51" s="179">
        <v>1</v>
      </c>
      <c r="N51" s="185"/>
      <c r="O51" s="185" t="s">
        <v>1070</v>
      </c>
      <c r="P51" s="185">
        <v>0.25900000000000001</v>
      </c>
      <c r="Q51" s="185">
        <v>4</v>
      </c>
      <c r="R51" s="179">
        <v>1</v>
      </c>
      <c r="S51" s="185"/>
      <c r="T51" s="185"/>
      <c r="U51" s="185" t="s">
        <v>1069</v>
      </c>
      <c r="V51" s="185">
        <v>6.3299999999999995E-2</v>
      </c>
      <c r="W51" s="179">
        <v>8</v>
      </c>
      <c r="X51" s="178">
        <f>(L51*M51+L52*M52+L53*M53+L54*M54+S51*T51)*6</f>
        <v>120</v>
      </c>
      <c r="Y51" s="185">
        <f>(P51*Q51*R51+P52*Q52*R52+P53*Q53*R53+P54*Q54*R54+V51*W51+V52*W52+V53*W53+V54*W54)*6</f>
        <v>14.753999999999998</v>
      </c>
      <c r="Z51" s="177">
        <v>0.30659999999999998</v>
      </c>
      <c r="AA51" s="176"/>
    </row>
    <row r="52" spans="1:27" ht="30" x14ac:dyDescent="0.25">
      <c r="A52" s="403"/>
      <c r="B52" s="405"/>
      <c r="C52" s="402"/>
      <c r="D52" s="185"/>
      <c r="E52" s="185" t="s">
        <v>1063</v>
      </c>
      <c r="F52" s="185"/>
      <c r="G52" s="185"/>
      <c r="H52" s="193"/>
      <c r="I52" s="197"/>
      <c r="J52" s="196"/>
      <c r="L52" s="180">
        <v>4</v>
      </c>
      <c r="M52" s="179">
        <v>1</v>
      </c>
      <c r="N52" s="185"/>
      <c r="O52" s="185"/>
      <c r="P52" s="185"/>
      <c r="Q52" s="185"/>
      <c r="R52" s="179"/>
      <c r="S52" s="185"/>
      <c r="T52" s="185"/>
      <c r="U52" s="185" t="s">
        <v>1062</v>
      </c>
      <c r="V52" s="185">
        <v>1.4999999999999999E-2</v>
      </c>
      <c r="W52" s="179">
        <v>1</v>
      </c>
      <c r="X52" s="178"/>
      <c r="Y52" s="177"/>
      <c r="Z52" s="177"/>
      <c r="AA52" s="176"/>
    </row>
    <row r="53" spans="1:27" x14ac:dyDescent="0.25">
      <c r="A53" s="403"/>
      <c r="B53" s="405"/>
      <c r="C53" s="402"/>
      <c r="D53" s="185"/>
      <c r="E53" s="185" t="s">
        <v>1068</v>
      </c>
      <c r="F53" s="185"/>
      <c r="G53" s="185"/>
      <c r="H53" s="181"/>
      <c r="I53" s="181"/>
      <c r="J53" s="176"/>
      <c r="L53" s="180"/>
      <c r="M53" s="179"/>
      <c r="N53" s="185"/>
      <c r="O53" s="185"/>
      <c r="P53" s="185"/>
      <c r="Q53" s="185"/>
      <c r="R53" s="179"/>
      <c r="S53" s="185"/>
      <c r="T53" s="185"/>
      <c r="U53" s="185" t="s">
        <v>1060</v>
      </c>
      <c r="V53" s="185">
        <f>0.0023</f>
        <v>2.3E-3</v>
      </c>
      <c r="W53" s="179">
        <v>392</v>
      </c>
      <c r="X53" s="178"/>
      <c r="Y53" s="177"/>
      <c r="Z53" s="177"/>
      <c r="AA53" s="176"/>
    </row>
    <row r="54" spans="1:27" x14ac:dyDescent="0.25">
      <c r="A54" s="403"/>
      <c r="B54" s="405"/>
      <c r="C54" s="402"/>
      <c r="D54" s="185"/>
      <c r="E54" s="185" t="s">
        <v>1067</v>
      </c>
      <c r="F54" s="185"/>
      <c r="G54" s="185"/>
      <c r="H54" s="181"/>
      <c r="I54" s="181"/>
      <c r="J54" s="176"/>
      <c r="L54" s="180"/>
      <c r="M54" s="179"/>
      <c r="N54" s="185"/>
      <c r="O54" s="185"/>
      <c r="P54" s="185"/>
      <c r="Q54" s="185"/>
      <c r="R54" s="179"/>
      <c r="S54" s="185"/>
      <c r="T54" s="185"/>
      <c r="U54" s="185"/>
      <c r="V54" s="185"/>
      <c r="W54" s="179"/>
      <c r="X54" s="178"/>
      <c r="Y54" s="177"/>
      <c r="Z54" s="177"/>
      <c r="AA54" s="176"/>
    </row>
    <row r="55" spans="1:27" ht="45" x14ac:dyDescent="0.25">
      <c r="A55" s="403"/>
      <c r="B55" s="405"/>
      <c r="C55" s="402"/>
      <c r="D55" s="185" t="s">
        <v>1066</v>
      </c>
      <c r="E55" s="185" t="s">
        <v>1065</v>
      </c>
      <c r="F55" s="185"/>
      <c r="G55" s="185" t="s">
        <v>929</v>
      </c>
      <c r="H55" s="193">
        <f>I55*J55</f>
        <v>24932284.901999999</v>
      </c>
      <c r="I55" s="193">
        <f>X55*Z55+Y55</f>
        <v>267.666</v>
      </c>
      <c r="J55" s="186">
        <v>93147</v>
      </c>
      <c r="L55" s="180">
        <v>16</v>
      </c>
      <c r="M55" s="179">
        <v>1</v>
      </c>
      <c r="N55" s="185"/>
      <c r="O55" s="185"/>
      <c r="P55" s="185"/>
      <c r="Q55" s="185"/>
      <c r="R55" s="179"/>
      <c r="S55" s="185"/>
      <c r="T55" s="185"/>
      <c r="U55" s="185" t="s">
        <v>1064</v>
      </c>
      <c r="V55" s="179">
        <v>4</v>
      </c>
      <c r="W55" s="179">
        <v>4</v>
      </c>
      <c r="X55" s="178">
        <f>(L55*M55+L56*M56+L57*M57+L58*M58+S55*T55)*6</f>
        <v>120</v>
      </c>
      <c r="Y55" s="185">
        <f>(P55*Q55*R55+P56*Q56*R56+P57*Q57*R57+P58*Q58*R58+V55*W55+V56*W56+V57*W57+V58*W58)*6</f>
        <v>230.874</v>
      </c>
      <c r="Z55" s="177">
        <v>0.30659999999999998</v>
      </c>
      <c r="AA55" s="176"/>
    </row>
    <row r="56" spans="1:27" ht="30" x14ac:dyDescent="0.25">
      <c r="A56" s="403"/>
      <c r="B56" s="405"/>
      <c r="C56" s="402"/>
      <c r="D56" s="185"/>
      <c r="E56" s="185" t="s">
        <v>1063</v>
      </c>
      <c r="F56" s="185"/>
      <c r="G56" s="185"/>
      <c r="H56" s="193"/>
      <c r="I56" s="181"/>
      <c r="J56" s="186"/>
      <c r="L56" s="180">
        <v>4</v>
      </c>
      <c r="M56" s="179">
        <v>1</v>
      </c>
      <c r="N56" s="185"/>
      <c r="O56" s="185"/>
      <c r="P56" s="185"/>
      <c r="Q56" s="185"/>
      <c r="R56" s="179"/>
      <c r="S56" s="185"/>
      <c r="T56" s="185"/>
      <c r="U56" s="185" t="s">
        <v>1062</v>
      </c>
      <c r="V56" s="185">
        <v>1.4999999999999999E-2</v>
      </c>
      <c r="W56" s="179">
        <v>1</v>
      </c>
      <c r="X56" s="178"/>
      <c r="Y56" s="177"/>
      <c r="Z56" s="177"/>
      <c r="AA56" s="176"/>
    </row>
    <row r="57" spans="1:27" x14ac:dyDescent="0.25">
      <c r="A57" s="403"/>
      <c r="B57" s="405"/>
      <c r="C57" s="402"/>
      <c r="D57" s="185"/>
      <c r="E57" s="185" t="s">
        <v>1061</v>
      </c>
      <c r="F57" s="185"/>
      <c r="G57" s="185"/>
      <c r="H57" s="181"/>
      <c r="I57" s="181"/>
      <c r="J57" s="176"/>
      <c r="L57" s="180"/>
      <c r="M57" s="179"/>
      <c r="N57" s="185"/>
      <c r="O57" s="185"/>
      <c r="P57" s="185"/>
      <c r="Q57" s="185"/>
      <c r="R57" s="179"/>
      <c r="S57" s="185"/>
      <c r="T57" s="185"/>
      <c r="U57" s="185" t="s">
        <v>1060</v>
      </c>
      <c r="V57" s="185">
        <f>0.234*0.5*48</f>
        <v>5.6160000000000005</v>
      </c>
      <c r="W57" s="179">
        <v>4</v>
      </c>
      <c r="X57" s="178"/>
      <c r="Y57" s="177"/>
      <c r="Z57" s="177"/>
      <c r="AA57" s="176"/>
    </row>
    <row r="58" spans="1:27" x14ac:dyDescent="0.25">
      <c r="A58" s="403"/>
      <c r="B58" s="405"/>
      <c r="C58" s="402"/>
      <c r="D58" s="185"/>
      <c r="E58" s="185" t="s">
        <v>1059</v>
      </c>
      <c r="F58" s="185"/>
      <c r="G58" s="185"/>
      <c r="H58" s="181"/>
      <c r="I58" s="181"/>
      <c r="J58" s="176"/>
      <c r="L58" s="180"/>
      <c r="M58" s="179"/>
      <c r="N58" s="185"/>
      <c r="O58" s="185"/>
      <c r="P58" s="185"/>
      <c r="Q58" s="185"/>
      <c r="R58" s="179"/>
      <c r="S58" s="185"/>
      <c r="T58" s="185"/>
      <c r="U58" s="185"/>
      <c r="V58" s="185"/>
      <c r="W58" s="179"/>
      <c r="X58" s="178"/>
      <c r="Y58" s="177"/>
      <c r="Z58" s="177"/>
      <c r="AA58" s="176"/>
    </row>
    <row r="59" spans="1:27" x14ac:dyDescent="0.25">
      <c r="A59" s="403"/>
      <c r="B59" s="405"/>
      <c r="C59" s="402"/>
      <c r="D59" s="185"/>
      <c r="E59" s="185"/>
      <c r="F59" s="185"/>
      <c r="G59" s="185"/>
      <c r="H59" s="181"/>
      <c r="I59" s="181"/>
      <c r="J59" s="176"/>
      <c r="L59" s="180"/>
      <c r="M59" s="179"/>
      <c r="N59" s="185"/>
      <c r="O59" s="185"/>
      <c r="P59" s="185"/>
      <c r="Q59" s="185"/>
      <c r="R59" s="179"/>
      <c r="S59" s="185"/>
      <c r="T59" s="185"/>
      <c r="U59" s="185"/>
      <c r="V59" s="185"/>
      <c r="W59" s="179"/>
      <c r="X59" s="178"/>
      <c r="Y59" s="177"/>
      <c r="Z59" s="177"/>
      <c r="AA59" s="176"/>
    </row>
    <row r="60" spans="1:27" x14ac:dyDescent="0.25">
      <c r="A60" s="403"/>
      <c r="B60" s="405"/>
      <c r="C60" s="402"/>
      <c r="D60" s="185"/>
      <c r="E60" s="185"/>
      <c r="F60" s="185"/>
      <c r="G60" s="185"/>
      <c r="H60" s="181"/>
      <c r="I60" s="181"/>
      <c r="J60" s="176"/>
      <c r="L60" s="180"/>
      <c r="M60" s="179"/>
      <c r="N60" s="185"/>
      <c r="O60" s="185"/>
      <c r="P60" s="185"/>
      <c r="Q60" s="185"/>
      <c r="R60" s="179"/>
      <c r="S60" s="185"/>
      <c r="T60" s="185"/>
      <c r="U60" s="185"/>
      <c r="V60" s="185"/>
      <c r="W60" s="179"/>
      <c r="X60" s="178"/>
      <c r="Y60" s="177"/>
      <c r="Z60" s="177"/>
      <c r="AA60" s="176"/>
    </row>
    <row r="61" spans="1:27" x14ac:dyDescent="0.25">
      <c r="A61" s="403"/>
      <c r="B61" s="405"/>
      <c r="C61" s="402"/>
      <c r="D61" s="185"/>
      <c r="E61" s="185"/>
      <c r="F61" s="185"/>
      <c r="G61" s="185"/>
      <c r="H61" s="181"/>
      <c r="I61" s="181"/>
      <c r="J61" s="176"/>
      <c r="L61" s="180"/>
      <c r="M61" s="179"/>
      <c r="N61" s="185"/>
      <c r="O61" s="185"/>
      <c r="P61" s="185"/>
      <c r="Q61" s="185"/>
      <c r="R61" s="179"/>
      <c r="S61" s="185"/>
      <c r="T61" s="185"/>
      <c r="U61" s="185"/>
      <c r="V61" s="185"/>
      <c r="W61" s="179"/>
      <c r="X61" s="178"/>
      <c r="Y61" s="177"/>
      <c r="Z61" s="177"/>
      <c r="AA61" s="176"/>
    </row>
    <row r="62" spans="1:27" ht="30" x14ac:dyDescent="0.25">
      <c r="A62" s="403"/>
      <c r="B62" s="405"/>
      <c r="C62" s="402"/>
      <c r="D62" s="185" t="s">
        <v>1058</v>
      </c>
      <c r="E62" s="185"/>
      <c r="F62" s="185"/>
      <c r="G62" s="185"/>
      <c r="H62" s="193">
        <f>I62*J62</f>
        <v>0</v>
      </c>
      <c r="I62" s="181"/>
      <c r="J62" s="176"/>
      <c r="L62" s="180"/>
      <c r="M62" s="179"/>
      <c r="N62" s="185"/>
      <c r="O62" s="185"/>
      <c r="P62" s="185"/>
      <c r="Q62" s="185"/>
      <c r="R62" s="179"/>
      <c r="S62" s="185"/>
      <c r="T62" s="185"/>
      <c r="U62" s="185"/>
      <c r="V62" s="185"/>
      <c r="W62" s="179"/>
      <c r="X62" s="178"/>
      <c r="Y62" s="177"/>
      <c r="Z62" s="177"/>
      <c r="AA62" s="176"/>
    </row>
    <row r="63" spans="1:27" x14ac:dyDescent="0.25">
      <c r="A63" s="403"/>
      <c r="B63" s="405"/>
      <c r="C63" s="402"/>
      <c r="D63" s="185"/>
      <c r="E63" s="185"/>
      <c r="F63" s="185"/>
      <c r="G63" s="185"/>
      <c r="H63" s="181"/>
      <c r="I63" s="181"/>
      <c r="J63" s="176"/>
      <c r="L63" s="180"/>
      <c r="M63" s="179"/>
      <c r="N63" s="185"/>
      <c r="O63" s="185"/>
      <c r="P63" s="185"/>
      <c r="Q63" s="185"/>
      <c r="R63" s="179"/>
      <c r="S63" s="185"/>
      <c r="T63" s="185"/>
      <c r="U63" s="185"/>
      <c r="V63" s="185"/>
      <c r="W63" s="179"/>
      <c r="X63" s="178"/>
      <c r="Y63" s="177"/>
      <c r="Z63" s="177"/>
      <c r="AA63" s="176"/>
    </row>
    <row r="64" spans="1:27" x14ac:dyDescent="0.25">
      <c r="A64" s="403"/>
      <c r="B64" s="405"/>
      <c r="C64" s="402"/>
      <c r="D64" s="185"/>
      <c r="E64" s="185"/>
      <c r="F64" s="185"/>
      <c r="G64" s="185"/>
      <c r="H64" s="181"/>
      <c r="I64" s="181"/>
      <c r="J64" s="176"/>
      <c r="L64" s="180"/>
      <c r="M64" s="179"/>
      <c r="N64" s="185"/>
      <c r="O64" s="185"/>
      <c r="P64" s="185"/>
      <c r="Q64" s="185"/>
      <c r="R64" s="179"/>
      <c r="S64" s="185"/>
      <c r="T64" s="185"/>
      <c r="U64" s="185"/>
      <c r="V64" s="185"/>
      <c r="W64" s="179"/>
      <c r="X64" s="178"/>
      <c r="Y64" s="177"/>
      <c r="Z64" s="177"/>
      <c r="AA64" s="176"/>
    </row>
    <row r="65" spans="1:27" x14ac:dyDescent="0.25">
      <c r="A65" s="403"/>
      <c r="B65" s="405"/>
      <c r="C65" s="402"/>
      <c r="D65" s="185"/>
      <c r="E65" s="185"/>
      <c r="F65" s="185"/>
      <c r="G65" s="185"/>
      <c r="H65" s="181"/>
      <c r="I65" s="181"/>
      <c r="J65" s="176"/>
      <c r="L65" s="180"/>
      <c r="M65" s="179"/>
      <c r="N65" s="185"/>
      <c r="O65" s="185"/>
      <c r="P65" s="185"/>
      <c r="Q65" s="185"/>
      <c r="R65" s="179"/>
      <c r="S65" s="185"/>
      <c r="T65" s="185"/>
      <c r="U65" s="185"/>
      <c r="V65" s="185"/>
      <c r="W65" s="179"/>
      <c r="X65" s="178"/>
      <c r="Y65" s="185"/>
      <c r="Z65" s="177"/>
      <c r="AA65" s="176"/>
    </row>
    <row r="66" spans="1:27" x14ac:dyDescent="0.25">
      <c r="A66" s="403"/>
      <c r="B66" s="405"/>
      <c r="C66" s="402"/>
      <c r="D66" s="185"/>
      <c r="E66" s="185"/>
      <c r="F66" s="185"/>
      <c r="G66" s="185"/>
      <c r="H66" s="181"/>
      <c r="I66" s="181"/>
      <c r="J66" s="176"/>
      <c r="L66" s="180"/>
      <c r="M66" s="179"/>
      <c r="N66" s="185"/>
      <c r="O66" s="185"/>
      <c r="P66" s="185"/>
      <c r="Q66" s="185"/>
      <c r="R66" s="179"/>
      <c r="S66" s="185"/>
      <c r="T66" s="185"/>
      <c r="U66" s="185"/>
      <c r="V66" s="185"/>
      <c r="W66" s="179"/>
      <c r="X66" s="178"/>
      <c r="Y66" s="185"/>
      <c r="Z66" s="177"/>
      <c r="AA66" s="176"/>
    </row>
    <row r="67" spans="1:27" x14ac:dyDescent="0.25">
      <c r="A67" s="403">
        <v>2</v>
      </c>
      <c r="B67" s="404" t="s">
        <v>1057</v>
      </c>
      <c r="C67" s="402" t="s">
        <v>1056</v>
      </c>
      <c r="D67" s="185" t="s">
        <v>1055</v>
      </c>
      <c r="E67" s="185"/>
      <c r="F67" s="185"/>
      <c r="G67" s="185"/>
      <c r="H67" s="181"/>
      <c r="I67" s="181"/>
      <c r="J67" s="176"/>
      <c r="L67" s="180"/>
      <c r="M67" s="179"/>
      <c r="N67" s="185"/>
      <c r="O67" s="185"/>
      <c r="P67" s="185"/>
      <c r="Q67" s="185"/>
      <c r="R67" s="179"/>
      <c r="S67" s="185"/>
      <c r="T67" s="185"/>
      <c r="U67" s="185"/>
      <c r="V67" s="185"/>
      <c r="W67" s="179"/>
      <c r="X67" s="178"/>
      <c r="Y67" s="185"/>
      <c r="Z67" s="177"/>
      <c r="AA67" s="176"/>
    </row>
    <row r="68" spans="1:27" x14ac:dyDescent="0.25">
      <c r="A68" s="403"/>
      <c r="B68" s="404"/>
      <c r="C68" s="402"/>
      <c r="D68" s="185"/>
      <c r="E68" s="185"/>
      <c r="F68" s="185"/>
      <c r="G68" s="185"/>
      <c r="H68" s="181"/>
      <c r="I68" s="181"/>
      <c r="J68" s="176"/>
      <c r="L68" s="180"/>
      <c r="M68" s="179"/>
      <c r="N68" s="185"/>
      <c r="O68" s="185"/>
      <c r="P68" s="185"/>
      <c r="Q68" s="185"/>
      <c r="R68" s="179"/>
      <c r="S68" s="185"/>
      <c r="T68" s="185"/>
      <c r="U68" s="185"/>
      <c r="V68" s="185"/>
      <c r="W68" s="179"/>
      <c r="X68" s="178"/>
      <c r="Y68" s="185"/>
      <c r="Z68" s="177"/>
      <c r="AA68" s="176"/>
    </row>
    <row r="69" spans="1:27" x14ac:dyDescent="0.25">
      <c r="A69" s="403"/>
      <c r="B69" s="404"/>
      <c r="C69" s="402"/>
      <c r="D69" s="185"/>
      <c r="E69" s="185"/>
      <c r="F69" s="185"/>
      <c r="G69" s="185"/>
      <c r="H69" s="181"/>
      <c r="I69" s="181"/>
      <c r="J69" s="176"/>
      <c r="L69" s="180"/>
      <c r="M69" s="179"/>
      <c r="N69" s="185"/>
      <c r="O69" s="185"/>
      <c r="P69" s="185"/>
      <c r="Q69" s="185"/>
      <c r="R69" s="179"/>
      <c r="S69" s="185"/>
      <c r="T69" s="185"/>
      <c r="U69" s="185"/>
      <c r="V69" s="185"/>
      <c r="W69" s="179"/>
      <c r="X69" s="178"/>
      <c r="Y69" s="185"/>
      <c r="Z69" s="177"/>
      <c r="AA69" s="176"/>
    </row>
    <row r="70" spans="1:27" x14ac:dyDescent="0.25">
      <c r="A70" s="403"/>
      <c r="B70" s="404"/>
      <c r="C70" s="402"/>
      <c r="D70" s="185"/>
      <c r="E70" s="185"/>
      <c r="F70" s="185"/>
      <c r="G70" s="185"/>
      <c r="H70" s="181"/>
      <c r="I70" s="181"/>
      <c r="J70" s="176"/>
      <c r="L70" s="180"/>
      <c r="M70" s="179"/>
      <c r="N70" s="185"/>
      <c r="O70" s="185"/>
      <c r="P70" s="185"/>
      <c r="Q70" s="185"/>
      <c r="R70" s="179"/>
      <c r="S70" s="185"/>
      <c r="T70" s="185"/>
      <c r="U70" s="185"/>
      <c r="V70" s="185"/>
      <c r="W70" s="179"/>
      <c r="X70" s="178"/>
      <c r="Y70" s="185"/>
      <c r="Z70" s="177"/>
      <c r="AA70" s="176"/>
    </row>
    <row r="71" spans="1:27" x14ac:dyDescent="0.25">
      <c r="A71" s="403"/>
      <c r="B71" s="404"/>
      <c r="C71" s="402"/>
      <c r="D71" s="185" t="s">
        <v>1054</v>
      </c>
      <c r="E71" s="185"/>
      <c r="F71" s="185"/>
      <c r="G71" s="185"/>
      <c r="H71" s="181"/>
      <c r="I71" s="181"/>
      <c r="J71" s="176"/>
      <c r="L71" s="180"/>
      <c r="M71" s="179"/>
      <c r="N71" s="185"/>
      <c r="O71" s="185"/>
      <c r="P71" s="185"/>
      <c r="Q71" s="185"/>
      <c r="R71" s="179"/>
      <c r="S71" s="185"/>
      <c r="T71" s="185"/>
      <c r="U71" s="185"/>
      <c r="V71" s="185"/>
      <c r="W71" s="179"/>
      <c r="X71" s="178"/>
      <c r="Y71" s="185"/>
      <c r="Z71" s="177"/>
      <c r="AA71" s="176"/>
    </row>
    <row r="72" spans="1:27" x14ac:dyDescent="0.25">
      <c r="A72" s="403"/>
      <c r="B72" s="404"/>
      <c r="C72" s="402"/>
      <c r="D72" s="185"/>
      <c r="E72" s="185"/>
      <c r="F72" s="185"/>
      <c r="G72" s="185"/>
      <c r="H72" s="181"/>
      <c r="I72" s="181"/>
      <c r="J72" s="176"/>
      <c r="L72" s="180"/>
      <c r="M72" s="179"/>
      <c r="N72" s="185"/>
      <c r="O72" s="185"/>
      <c r="P72" s="185"/>
      <c r="Q72" s="185"/>
      <c r="R72" s="179"/>
      <c r="S72" s="185"/>
      <c r="T72" s="185"/>
      <c r="U72" s="185"/>
      <c r="V72" s="185"/>
      <c r="W72" s="179"/>
      <c r="X72" s="178"/>
      <c r="Y72" s="185"/>
      <c r="Z72" s="177"/>
      <c r="AA72" s="176"/>
    </row>
    <row r="73" spans="1:27" x14ac:dyDescent="0.25">
      <c r="A73" s="403"/>
      <c r="B73" s="404"/>
      <c r="C73" s="402"/>
      <c r="D73" s="185"/>
      <c r="E73" s="185"/>
      <c r="F73" s="185"/>
      <c r="G73" s="185"/>
      <c r="H73" s="181"/>
      <c r="I73" s="181"/>
      <c r="J73" s="176"/>
      <c r="L73" s="180"/>
      <c r="M73" s="179"/>
      <c r="N73" s="185"/>
      <c r="O73" s="185"/>
      <c r="P73" s="185"/>
      <c r="Q73" s="185"/>
      <c r="R73" s="179"/>
      <c r="S73" s="185"/>
      <c r="T73" s="185"/>
      <c r="U73" s="185"/>
      <c r="V73" s="185"/>
      <c r="W73" s="179"/>
      <c r="X73" s="178"/>
      <c r="Y73" s="185"/>
      <c r="Z73" s="177"/>
      <c r="AA73" s="176"/>
    </row>
    <row r="74" spans="1:27" x14ac:dyDescent="0.25">
      <c r="A74" s="403"/>
      <c r="B74" s="404"/>
      <c r="C74" s="402"/>
      <c r="D74" s="185" t="s">
        <v>1053</v>
      </c>
      <c r="E74" s="185"/>
      <c r="F74" s="185"/>
      <c r="G74" s="185"/>
      <c r="H74" s="181"/>
      <c r="I74" s="181"/>
      <c r="J74" s="176"/>
      <c r="L74" s="180"/>
      <c r="M74" s="179"/>
      <c r="N74" s="185"/>
      <c r="O74" s="185"/>
      <c r="P74" s="185"/>
      <c r="Q74" s="185"/>
      <c r="R74" s="179"/>
      <c r="S74" s="185"/>
      <c r="T74" s="185"/>
      <c r="U74" s="185"/>
      <c r="V74" s="185"/>
      <c r="W74" s="179"/>
      <c r="X74" s="178"/>
      <c r="Y74" s="185"/>
      <c r="Z74" s="177"/>
      <c r="AA74" s="176"/>
    </row>
    <row r="75" spans="1:27" x14ac:dyDescent="0.25">
      <c r="A75" s="403"/>
      <c r="B75" s="404"/>
      <c r="C75" s="402"/>
      <c r="D75" s="185"/>
      <c r="E75" s="185"/>
      <c r="F75" s="185"/>
      <c r="G75" s="185"/>
      <c r="H75" s="181"/>
      <c r="I75" s="181"/>
      <c r="J75" s="176"/>
      <c r="L75" s="180"/>
      <c r="M75" s="179"/>
      <c r="N75" s="185"/>
      <c r="O75" s="185"/>
      <c r="P75" s="185"/>
      <c r="Q75" s="185"/>
      <c r="R75" s="179"/>
      <c r="S75" s="185"/>
      <c r="T75" s="185"/>
      <c r="U75" s="185"/>
      <c r="V75" s="185"/>
      <c r="W75" s="179"/>
      <c r="X75" s="178"/>
      <c r="Y75" s="185"/>
      <c r="Z75" s="177"/>
      <c r="AA75" s="176"/>
    </row>
    <row r="76" spans="1:27" x14ac:dyDescent="0.25">
      <c r="A76" s="403"/>
      <c r="B76" s="404"/>
      <c r="C76" s="402"/>
      <c r="D76" s="185"/>
      <c r="E76" s="185"/>
      <c r="F76" s="185"/>
      <c r="G76" s="185"/>
      <c r="H76" s="181"/>
      <c r="I76" s="181"/>
      <c r="J76" s="176"/>
      <c r="L76" s="180"/>
      <c r="M76" s="179"/>
      <c r="N76" s="185"/>
      <c r="O76" s="185"/>
      <c r="P76" s="185"/>
      <c r="Q76" s="185"/>
      <c r="R76" s="179"/>
      <c r="S76" s="185"/>
      <c r="T76" s="185"/>
      <c r="U76" s="185"/>
      <c r="V76" s="185"/>
      <c r="W76" s="179"/>
      <c r="X76" s="178"/>
      <c r="Y76" s="185"/>
      <c r="Z76" s="177"/>
      <c r="AA76" s="176"/>
    </row>
    <row r="77" spans="1:27" x14ac:dyDescent="0.25">
      <c r="A77" s="403"/>
      <c r="B77" s="404"/>
      <c r="C77" s="402"/>
      <c r="D77" s="185" t="s">
        <v>1052</v>
      </c>
      <c r="E77" s="185"/>
      <c r="F77" s="185"/>
      <c r="G77" s="185"/>
      <c r="H77" s="181"/>
      <c r="I77" s="181"/>
      <c r="J77" s="176"/>
      <c r="L77" s="180"/>
      <c r="M77" s="179"/>
      <c r="N77" s="185"/>
      <c r="O77" s="185"/>
      <c r="P77" s="185"/>
      <c r="Q77" s="185"/>
      <c r="R77" s="179"/>
      <c r="S77" s="185"/>
      <c r="T77" s="185"/>
      <c r="U77" s="185"/>
      <c r="V77" s="185"/>
      <c r="W77" s="179"/>
      <c r="X77" s="178"/>
      <c r="Y77" s="185"/>
      <c r="Z77" s="177"/>
      <c r="AA77" s="176"/>
    </row>
    <row r="78" spans="1:27" x14ac:dyDescent="0.25">
      <c r="A78" s="403"/>
      <c r="B78" s="404"/>
      <c r="C78" s="402"/>
      <c r="D78" s="185"/>
      <c r="E78" s="185"/>
      <c r="F78" s="185"/>
      <c r="G78" s="185"/>
      <c r="H78" s="181"/>
      <c r="I78" s="181"/>
      <c r="J78" s="176"/>
      <c r="L78" s="180"/>
      <c r="M78" s="179"/>
      <c r="N78" s="185"/>
      <c r="O78" s="185"/>
      <c r="P78" s="185"/>
      <c r="Q78" s="185"/>
      <c r="R78" s="179"/>
      <c r="S78" s="185"/>
      <c r="T78" s="185"/>
      <c r="U78" s="185"/>
      <c r="V78" s="185"/>
      <c r="W78" s="179"/>
      <c r="X78" s="178"/>
      <c r="Y78" s="185"/>
      <c r="Z78" s="177"/>
      <c r="AA78" s="176"/>
    </row>
    <row r="79" spans="1:27" x14ac:dyDescent="0.25">
      <c r="A79" s="403"/>
      <c r="B79" s="404"/>
      <c r="C79" s="402"/>
      <c r="D79" s="185"/>
      <c r="E79" s="185"/>
      <c r="F79" s="185"/>
      <c r="G79" s="185"/>
      <c r="H79" s="181"/>
      <c r="I79" s="181"/>
      <c r="J79" s="176"/>
      <c r="L79" s="180"/>
      <c r="M79" s="179"/>
      <c r="N79" s="185"/>
      <c r="O79" s="185"/>
      <c r="P79" s="185"/>
      <c r="Q79" s="185"/>
      <c r="R79" s="179"/>
      <c r="S79" s="185"/>
      <c r="T79" s="185"/>
      <c r="U79" s="185"/>
      <c r="V79" s="185"/>
      <c r="W79" s="179"/>
      <c r="X79" s="178"/>
      <c r="Y79" s="185"/>
      <c r="Z79" s="177"/>
      <c r="AA79" s="176"/>
    </row>
    <row r="80" spans="1:27" x14ac:dyDescent="0.25">
      <c r="A80" s="403"/>
      <c r="B80" s="404"/>
      <c r="C80" s="402"/>
      <c r="D80" s="185"/>
      <c r="E80" s="185"/>
      <c r="F80" s="185"/>
      <c r="G80" s="185"/>
      <c r="H80" s="181"/>
      <c r="I80" s="181"/>
      <c r="J80" s="176"/>
      <c r="L80" s="180"/>
      <c r="M80" s="179"/>
      <c r="N80" s="185"/>
      <c r="O80" s="185"/>
      <c r="P80" s="185"/>
      <c r="Q80" s="185"/>
      <c r="R80" s="179"/>
      <c r="S80" s="185"/>
      <c r="T80" s="185"/>
      <c r="U80" s="185"/>
      <c r="V80" s="185"/>
      <c r="W80" s="179"/>
      <c r="X80" s="178"/>
      <c r="Y80" s="185"/>
      <c r="Z80" s="177"/>
      <c r="AA80" s="176"/>
    </row>
    <row r="81" spans="1:27" x14ac:dyDescent="0.25">
      <c r="A81" s="403"/>
      <c r="B81" s="404"/>
      <c r="C81" s="402"/>
      <c r="D81" s="185"/>
      <c r="E81" s="185"/>
      <c r="F81" s="185"/>
      <c r="G81" s="185"/>
      <c r="H81" s="181"/>
      <c r="I81" s="181"/>
      <c r="J81" s="176"/>
      <c r="L81" s="180"/>
      <c r="M81" s="179"/>
      <c r="N81" s="185"/>
      <c r="O81" s="185"/>
      <c r="P81" s="185"/>
      <c r="Q81" s="185"/>
      <c r="R81" s="179"/>
      <c r="S81" s="185"/>
      <c r="T81" s="185"/>
      <c r="U81" s="185"/>
      <c r="V81" s="185"/>
      <c r="W81" s="179"/>
      <c r="X81" s="178"/>
      <c r="Y81" s="185"/>
      <c r="Z81" s="177"/>
      <c r="AA81" s="176"/>
    </row>
    <row r="82" spans="1:27" ht="30" x14ac:dyDescent="0.25">
      <c r="A82" s="403"/>
      <c r="B82" s="404"/>
      <c r="C82" s="402" t="s">
        <v>240</v>
      </c>
      <c r="D82" s="185" t="s">
        <v>1051</v>
      </c>
      <c r="E82" s="185"/>
      <c r="F82" s="185"/>
      <c r="G82" s="185"/>
      <c r="H82" s="181"/>
      <c r="I82" s="181"/>
      <c r="J82" s="176"/>
      <c r="L82" s="180"/>
      <c r="M82" s="179"/>
      <c r="N82" s="185"/>
      <c r="O82" s="185"/>
      <c r="P82" s="185"/>
      <c r="Q82" s="185"/>
      <c r="R82" s="179"/>
      <c r="S82" s="185"/>
      <c r="T82" s="185"/>
      <c r="U82" s="185"/>
      <c r="V82" s="185"/>
      <c r="W82" s="179"/>
      <c r="X82" s="178"/>
      <c r="Y82" s="185"/>
      <c r="Z82" s="177"/>
      <c r="AA82" s="176"/>
    </row>
    <row r="83" spans="1:27" x14ac:dyDescent="0.25">
      <c r="A83" s="403"/>
      <c r="B83" s="404"/>
      <c r="C83" s="402"/>
      <c r="D83" s="185"/>
      <c r="E83" s="185"/>
      <c r="F83" s="185"/>
      <c r="G83" s="185"/>
      <c r="H83" s="181"/>
      <c r="I83" s="181"/>
      <c r="J83" s="176"/>
      <c r="L83" s="180"/>
      <c r="M83" s="179"/>
      <c r="N83" s="185"/>
      <c r="O83" s="185"/>
      <c r="P83" s="185"/>
      <c r="Q83" s="185"/>
      <c r="R83" s="179"/>
      <c r="S83" s="185"/>
      <c r="T83" s="185"/>
      <c r="U83" s="185"/>
      <c r="V83" s="185"/>
      <c r="W83" s="179"/>
      <c r="X83" s="178"/>
      <c r="Y83" s="185"/>
      <c r="Z83" s="177"/>
      <c r="AA83" s="176"/>
    </row>
    <row r="84" spans="1:27" x14ac:dyDescent="0.25">
      <c r="A84" s="403"/>
      <c r="B84" s="404"/>
      <c r="C84" s="402"/>
      <c r="D84" s="185"/>
      <c r="E84" s="185"/>
      <c r="F84" s="185"/>
      <c r="G84" s="185"/>
      <c r="H84" s="181"/>
      <c r="I84" s="181"/>
      <c r="J84" s="176"/>
      <c r="L84" s="180"/>
      <c r="M84" s="179"/>
      <c r="N84" s="185"/>
      <c r="O84" s="185"/>
      <c r="P84" s="185"/>
      <c r="Q84" s="185"/>
      <c r="R84" s="179"/>
      <c r="S84" s="185"/>
      <c r="T84" s="185"/>
      <c r="U84" s="185"/>
      <c r="V84" s="185"/>
      <c r="W84" s="179"/>
      <c r="X84" s="178"/>
      <c r="Y84" s="185"/>
      <c r="Z84" s="177"/>
      <c r="AA84" s="176"/>
    </row>
    <row r="85" spans="1:27" x14ac:dyDescent="0.25">
      <c r="A85" s="403"/>
      <c r="B85" s="404"/>
      <c r="C85" s="402"/>
      <c r="D85" s="185"/>
      <c r="E85" s="185"/>
      <c r="F85" s="185"/>
      <c r="G85" s="185"/>
      <c r="H85" s="181"/>
      <c r="I85" s="181"/>
      <c r="J85" s="176"/>
      <c r="L85" s="180"/>
      <c r="M85" s="179"/>
      <c r="N85" s="185"/>
      <c r="O85" s="185"/>
      <c r="P85" s="185"/>
      <c r="Q85" s="185"/>
      <c r="R85" s="179"/>
      <c r="S85" s="185"/>
      <c r="T85" s="185"/>
      <c r="U85" s="185"/>
      <c r="V85" s="185"/>
      <c r="W85" s="179"/>
      <c r="X85" s="178"/>
      <c r="Y85" s="185"/>
      <c r="Z85" s="177"/>
      <c r="AA85" s="176"/>
    </row>
    <row r="86" spans="1:27" x14ac:dyDescent="0.25">
      <c r="A86" s="403"/>
      <c r="B86" s="404"/>
      <c r="C86" s="402"/>
      <c r="D86" s="185"/>
      <c r="E86" s="185"/>
      <c r="F86" s="185"/>
      <c r="G86" s="185"/>
      <c r="H86" s="181"/>
      <c r="I86" s="181"/>
      <c r="J86" s="176"/>
      <c r="L86" s="180"/>
      <c r="M86" s="179"/>
      <c r="N86" s="185"/>
      <c r="O86" s="185"/>
      <c r="P86" s="185"/>
      <c r="Q86" s="185"/>
      <c r="R86" s="179"/>
      <c r="S86" s="185"/>
      <c r="T86" s="185"/>
      <c r="U86" s="185"/>
      <c r="V86" s="185"/>
      <c r="W86" s="179"/>
      <c r="X86" s="178"/>
      <c r="Y86" s="185"/>
      <c r="Z86" s="177"/>
      <c r="AA86" s="176"/>
    </row>
    <row r="87" spans="1:27" ht="30" x14ac:dyDescent="0.25">
      <c r="A87" s="403"/>
      <c r="B87" s="404"/>
      <c r="C87" s="402"/>
      <c r="D87" s="185" t="s">
        <v>1050</v>
      </c>
      <c r="E87" s="185"/>
      <c r="F87" s="185"/>
      <c r="G87" s="185"/>
      <c r="H87" s="181"/>
      <c r="I87" s="181"/>
      <c r="J87" s="176"/>
      <c r="L87" s="180"/>
      <c r="M87" s="179"/>
      <c r="N87" s="185"/>
      <c r="O87" s="185"/>
      <c r="P87" s="185"/>
      <c r="Q87" s="185"/>
      <c r="R87" s="179"/>
      <c r="S87" s="185"/>
      <c r="T87" s="185"/>
      <c r="U87" s="185"/>
      <c r="V87" s="185"/>
      <c r="W87" s="179"/>
      <c r="X87" s="178"/>
      <c r="Y87" s="185"/>
      <c r="Z87" s="177"/>
      <c r="AA87" s="176"/>
    </row>
    <row r="88" spans="1:27" x14ac:dyDescent="0.25">
      <c r="A88" s="403"/>
      <c r="B88" s="404"/>
      <c r="C88" s="402"/>
      <c r="D88" s="185"/>
      <c r="E88" s="185"/>
      <c r="F88" s="185"/>
      <c r="G88" s="185"/>
      <c r="H88" s="181"/>
      <c r="I88" s="181"/>
      <c r="J88" s="176"/>
      <c r="L88" s="180"/>
      <c r="M88" s="179"/>
      <c r="N88" s="185"/>
      <c r="O88" s="185"/>
      <c r="P88" s="185"/>
      <c r="Q88" s="185"/>
      <c r="R88" s="179"/>
      <c r="S88" s="185"/>
      <c r="T88" s="185"/>
      <c r="U88" s="185"/>
      <c r="V88" s="185"/>
      <c r="W88" s="179"/>
      <c r="X88" s="178"/>
      <c r="Y88" s="185"/>
      <c r="Z88" s="177"/>
      <c r="AA88" s="176"/>
    </row>
    <row r="89" spans="1:27" x14ac:dyDescent="0.25">
      <c r="A89" s="403"/>
      <c r="B89" s="404"/>
      <c r="C89" s="402"/>
      <c r="D89" s="185"/>
      <c r="E89" s="185"/>
      <c r="F89" s="185"/>
      <c r="G89" s="185"/>
      <c r="H89" s="181"/>
      <c r="I89" s="181"/>
      <c r="J89" s="176"/>
      <c r="L89" s="180"/>
      <c r="M89" s="179"/>
      <c r="N89" s="185"/>
      <c r="O89" s="185"/>
      <c r="P89" s="185"/>
      <c r="Q89" s="185"/>
      <c r="R89" s="179"/>
      <c r="S89" s="185"/>
      <c r="T89" s="185"/>
      <c r="U89" s="185"/>
      <c r="V89" s="185"/>
      <c r="W89" s="179"/>
      <c r="X89" s="178"/>
      <c r="Y89" s="185"/>
      <c r="Z89" s="177"/>
      <c r="AA89" s="176"/>
    </row>
    <row r="90" spans="1:27" x14ac:dyDescent="0.25">
      <c r="A90" s="403"/>
      <c r="B90" s="404"/>
      <c r="C90" s="402"/>
      <c r="D90" s="185"/>
      <c r="E90" s="185"/>
      <c r="F90" s="185"/>
      <c r="G90" s="185"/>
      <c r="H90" s="181"/>
      <c r="I90" s="181"/>
      <c r="J90" s="176"/>
      <c r="L90" s="180"/>
      <c r="M90" s="179"/>
      <c r="N90" s="185"/>
      <c r="O90" s="185"/>
      <c r="P90" s="185"/>
      <c r="Q90" s="185"/>
      <c r="R90" s="179"/>
      <c r="S90" s="185"/>
      <c r="T90" s="185"/>
      <c r="U90" s="185"/>
      <c r="V90" s="185"/>
      <c r="W90" s="179"/>
      <c r="X90" s="178"/>
      <c r="Y90" s="185"/>
      <c r="Z90" s="177"/>
      <c r="AA90" s="176"/>
    </row>
    <row r="91" spans="1:27" x14ac:dyDescent="0.25">
      <c r="A91" s="403"/>
      <c r="B91" s="404"/>
      <c r="C91" s="402"/>
      <c r="D91" s="185"/>
      <c r="E91" s="185"/>
      <c r="F91" s="185"/>
      <c r="G91" s="185"/>
      <c r="H91" s="181"/>
      <c r="I91" s="181"/>
      <c r="J91" s="176"/>
      <c r="L91" s="180"/>
      <c r="M91" s="179"/>
      <c r="N91" s="185"/>
      <c r="O91" s="185"/>
      <c r="P91" s="185"/>
      <c r="Q91" s="185"/>
      <c r="R91" s="179"/>
      <c r="S91" s="185"/>
      <c r="T91" s="185"/>
      <c r="U91" s="185"/>
      <c r="V91" s="185"/>
      <c r="W91" s="179"/>
      <c r="X91" s="178"/>
      <c r="Y91" s="185"/>
      <c r="Z91" s="177"/>
      <c r="AA91" s="176"/>
    </row>
    <row r="92" spans="1:27" ht="30" x14ac:dyDescent="0.25">
      <c r="A92" s="403"/>
      <c r="B92" s="404"/>
      <c r="C92" s="402"/>
      <c r="D92" s="185" t="s">
        <v>1049</v>
      </c>
      <c r="E92" s="185"/>
      <c r="F92" s="185"/>
      <c r="G92" s="185"/>
      <c r="H92" s="181"/>
      <c r="I92" s="181"/>
      <c r="J92" s="176"/>
      <c r="L92" s="180"/>
      <c r="M92" s="179"/>
      <c r="N92" s="185"/>
      <c r="O92" s="185"/>
      <c r="P92" s="185"/>
      <c r="Q92" s="185"/>
      <c r="R92" s="179"/>
      <c r="S92" s="185"/>
      <c r="T92" s="185"/>
      <c r="U92" s="185"/>
      <c r="V92" s="185"/>
      <c r="W92" s="179"/>
      <c r="X92" s="178"/>
      <c r="Y92" s="185"/>
      <c r="Z92" s="177"/>
      <c r="AA92" s="176"/>
    </row>
    <row r="93" spans="1:27" x14ac:dyDescent="0.25">
      <c r="A93" s="403"/>
      <c r="B93" s="404"/>
      <c r="C93" s="402"/>
      <c r="D93" s="185"/>
      <c r="E93" s="185"/>
      <c r="F93" s="185"/>
      <c r="G93" s="185"/>
      <c r="H93" s="181"/>
      <c r="I93" s="181"/>
      <c r="J93" s="176"/>
      <c r="L93" s="180"/>
      <c r="M93" s="179"/>
      <c r="N93" s="185"/>
      <c r="O93" s="185"/>
      <c r="P93" s="185"/>
      <c r="Q93" s="185"/>
      <c r="R93" s="179"/>
      <c r="S93" s="185"/>
      <c r="T93" s="185"/>
      <c r="U93" s="185"/>
      <c r="V93" s="185"/>
      <c r="W93" s="179"/>
      <c r="X93" s="178"/>
      <c r="Y93" s="185"/>
      <c r="Z93" s="177"/>
      <c r="AA93" s="176"/>
    </row>
    <row r="94" spans="1:27" x14ac:dyDescent="0.25">
      <c r="A94" s="403"/>
      <c r="B94" s="404"/>
      <c r="C94" s="402"/>
      <c r="D94" s="185"/>
      <c r="E94" s="185"/>
      <c r="F94" s="185"/>
      <c r="G94" s="185"/>
      <c r="H94" s="181"/>
      <c r="I94" s="181"/>
      <c r="J94" s="176"/>
      <c r="L94" s="180"/>
      <c r="M94" s="179"/>
      <c r="N94" s="185"/>
      <c r="O94" s="185"/>
      <c r="P94" s="185"/>
      <c r="Q94" s="185"/>
      <c r="R94" s="179"/>
      <c r="S94" s="185"/>
      <c r="T94" s="185"/>
      <c r="U94" s="185"/>
      <c r="V94" s="185"/>
      <c r="W94" s="179"/>
      <c r="X94" s="178"/>
      <c r="Y94" s="185"/>
      <c r="Z94" s="177"/>
      <c r="AA94" s="176"/>
    </row>
    <row r="95" spans="1:27" x14ac:dyDescent="0.25">
      <c r="A95" s="403"/>
      <c r="B95" s="404"/>
      <c r="C95" s="402"/>
      <c r="D95" s="185"/>
      <c r="E95" s="185"/>
      <c r="F95" s="185"/>
      <c r="G95" s="185"/>
      <c r="H95" s="181"/>
      <c r="I95" s="181"/>
      <c r="J95" s="176"/>
      <c r="L95" s="180"/>
      <c r="M95" s="179"/>
      <c r="N95" s="185"/>
      <c r="O95" s="185"/>
      <c r="P95" s="185"/>
      <c r="Q95" s="185"/>
      <c r="R95" s="179"/>
      <c r="S95" s="185"/>
      <c r="T95" s="185"/>
      <c r="U95" s="185"/>
      <c r="V95" s="185"/>
      <c r="W95" s="179"/>
      <c r="X95" s="178"/>
      <c r="Y95" s="185"/>
      <c r="Z95" s="177"/>
      <c r="AA95" s="176"/>
    </row>
    <row r="96" spans="1:27" x14ac:dyDescent="0.25">
      <c r="A96" s="403"/>
      <c r="B96" s="404"/>
      <c r="C96" s="402"/>
      <c r="D96" s="185"/>
      <c r="E96" s="185"/>
      <c r="F96" s="185"/>
      <c r="G96" s="185"/>
      <c r="H96" s="181"/>
      <c r="I96" s="181"/>
      <c r="J96" s="176"/>
      <c r="L96" s="180"/>
      <c r="M96" s="179"/>
      <c r="N96" s="185"/>
      <c r="O96" s="185"/>
      <c r="P96" s="185"/>
      <c r="Q96" s="185"/>
      <c r="R96" s="179"/>
      <c r="S96" s="185"/>
      <c r="T96" s="185"/>
      <c r="U96" s="185"/>
      <c r="V96" s="185"/>
      <c r="W96" s="179"/>
      <c r="X96" s="178"/>
      <c r="Y96" s="185"/>
      <c r="Z96" s="177"/>
      <c r="AA96" s="176"/>
    </row>
    <row r="97" spans="1:27" x14ac:dyDescent="0.25">
      <c r="A97" s="403"/>
      <c r="B97" s="404"/>
      <c r="C97" s="402" t="s">
        <v>1048</v>
      </c>
      <c r="D97" s="185"/>
      <c r="E97" s="185"/>
      <c r="F97" s="185"/>
      <c r="G97" s="185"/>
      <c r="H97" s="181"/>
      <c r="I97" s="181"/>
      <c r="J97" s="176"/>
      <c r="L97" s="180"/>
      <c r="M97" s="179"/>
      <c r="N97" s="185"/>
      <c r="O97" s="185"/>
      <c r="P97" s="185"/>
      <c r="Q97" s="185"/>
      <c r="R97" s="179"/>
      <c r="S97" s="185"/>
      <c r="T97" s="185"/>
      <c r="U97" s="185"/>
      <c r="V97" s="185"/>
      <c r="W97" s="179"/>
      <c r="X97" s="178"/>
      <c r="Y97" s="185"/>
      <c r="Z97" s="177"/>
      <c r="AA97" s="176"/>
    </row>
    <row r="98" spans="1:27" x14ac:dyDescent="0.25">
      <c r="A98" s="403"/>
      <c r="B98" s="404"/>
      <c r="C98" s="402"/>
      <c r="D98" s="185"/>
      <c r="E98" s="185"/>
      <c r="F98" s="185"/>
      <c r="G98" s="185"/>
      <c r="H98" s="181"/>
      <c r="I98" s="181"/>
      <c r="J98" s="176"/>
      <c r="L98" s="180"/>
      <c r="M98" s="179"/>
      <c r="N98" s="185"/>
      <c r="O98" s="185"/>
      <c r="P98" s="185"/>
      <c r="Q98" s="185"/>
      <c r="R98" s="179"/>
      <c r="S98" s="185"/>
      <c r="T98" s="185"/>
      <c r="U98" s="185"/>
      <c r="V98" s="185"/>
      <c r="W98" s="179"/>
      <c r="X98" s="178"/>
      <c r="Y98" s="185"/>
      <c r="Z98" s="177"/>
      <c r="AA98" s="176"/>
    </row>
    <row r="99" spans="1:27" x14ac:dyDescent="0.25">
      <c r="A99" s="403"/>
      <c r="B99" s="404"/>
      <c r="C99" s="402"/>
      <c r="D99" s="185"/>
      <c r="E99" s="185"/>
      <c r="F99" s="185"/>
      <c r="G99" s="185"/>
      <c r="H99" s="181"/>
      <c r="I99" s="181"/>
      <c r="J99" s="176"/>
      <c r="L99" s="180"/>
      <c r="M99" s="179"/>
      <c r="N99" s="185"/>
      <c r="O99" s="185"/>
      <c r="P99" s="185"/>
      <c r="Q99" s="185"/>
      <c r="R99" s="179"/>
      <c r="S99" s="185"/>
      <c r="T99" s="185"/>
      <c r="U99" s="185"/>
      <c r="V99" s="185"/>
      <c r="W99" s="179"/>
      <c r="X99" s="178"/>
      <c r="Y99" s="185"/>
      <c r="Z99" s="177"/>
      <c r="AA99" s="176"/>
    </row>
    <row r="100" spans="1:27" x14ac:dyDescent="0.25">
      <c r="A100" s="403"/>
      <c r="B100" s="404"/>
      <c r="C100" s="402"/>
      <c r="D100" s="185"/>
      <c r="E100" s="185"/>
      <c r="F100" s="185"/>
      <c r="G100" s="185"/>
      <c r="H100" s="181"/>
      <c r="I100" s="181"/>
      <c r="J100" s="176"/>
      <c r="L100" s="180"/>
      <c r="M100" s="179"/>
      <c r="N100" s="185"/>
      <c r="O100" s="185"/>
      <c r="P100" s="185"/>
      <c r="Q100" s="185"/>
      <c r="R100" s="179"/>
      <c r="S100" s="185"/>
      <c r="T100" s="185"/>
      <c r="U100" s="185"/>
      <c r="V100" s="185"/>
      <c r="W100" s="179"/>
      <c r="X100" s="178"/>
      <c r="Y100" s="185"/>
      <c r="Z100" s="177"/>
      <c r="AA100" s="176"/>
    </row>
    <row r="101" spans="1:27" x14ac:dyDescent="0.25">
      <c r="A101" s="403"/>
      <c r="B101" s="404"/>
      <c r="C101" s="402"/>
      <c r="D101" s="185"/>
      <c r="E101" s="185"/>
      <c r="F101" s="185"/>
      <c r="G101" s="185"/>
      <c r="H101" s="181"/>
      <c r="I101" s="181"/>
      <c r="J101" s="176"/>
      <c r="L101" s="180"/>
      <c r="M101" s="179"/>
      <c r="N101" s="185"/>
      <c r="O101" s="185"/>
      <c r="P101" s="185"/>
      <c r="Q101" s="185"/>
      <c r="R101" s="179"/>
      <c r="S101" s="185"/>
      <c r="T101" s="185"/>
      <c r="U101" s="185"/>
      <c r="V101" s="185"/>
      <c r="W101" s="179"/>
      <c r="X101" s="178"/>
      <c r="Y101" s="185"/>
      <c r="Z101" s="177"/>
      <c r="AA101" s="176"/>
    </row>
    <row r="102" spans="1:27" x14ac:dyDescent="0.25">
      <c r="A102" s="403"/>
      <c r="B102" s="404"/>
      <c r="C102" s="402"/>
      <c r="D102" s="185"/>
      <c r="E102" s="185"/>
      <c r="F102" s="185"/>
      <c r="G102" s="185"/>
      <c r="H102" s="181"/>
      <c r="I102" s="181"/>
      <c r="J102" s="176"/>
      <c r="L102" s="180"/>
      <c r="M102" s="179"/>
      <c r="N102" s="185"/>
      <c r="O102" s="185"/>
      <c r="P102" s="185"/>
      <c r="Q102" s="185"/>
      <c r="R102" s="179"/>
      <c r="S102" s="185"/>
      <c r="T102" s="185"/>
      <c r="U102" s="185"/>
      <c r="V102" s="185"/>
      <c r="W102" s="179"/>
      <c r="X102" s="178"/>
      <c r="Y102" s="185"/>
      <c r="Z102" s="177"/>
      <c r="AA102" s="176"/>
    </row>
    <row r="103" spans="1:27" x14ac:dyDescent="0.25">
      <c r="A103" s="403">
        <v>3</v>
      </c>
      <c r="B103" s="405" t="s">
        <v>1047</v>
      </c>
      <c r="C103" s="413" t="s">
        <v>208</v>
      </c>
      <c r="D103" s="185" t="s">
        <v>1046</v>
      </c>
      <c r="E103" s="185" t="s">
        <v>1040</v>
      </c>
      <c r="F103" s="185"/>
      <c r="G103" s="185" t="s">
        <v>929</v>
      </c>
      <c r="H103" s="187">
        <f>I103*J103</f>
        <v>0</v>
      </c>
      <c r="I103" s="187">
        <f>X103*Z103+Y103</f>
        <v>8.5504607999999998</v>
      </c>
      <c r="J103" s="176"/>
      <c r="L103" s="180">
        <v>4</v>
      </c>
      <c r="M103" s="179" t="s">
        <v>1026</v>
      </c>
      <c r="N103" s="185"/>
      <c r="O103" s="185"/>
      <c r="P103" s="185"/>
      <c r="Q103" s="185"/>
      <c r="R103" s="179"/>
      <c r="S103" s="185"/>
      <c r="T103" s="185"/>
      <c r="U103" s="185"/>
      <c r="V103" s="185"/>
      <c r="W103" s="179"/>
      <c r="X103" s="178">
        <f>(L103*M103+L104*M104+L105*M105)*6</f>
        <v>27.887999999999998</v>
      </c>
      <c r="Y103" s="185">
        <f>(P103*Q103*R103+V103*W103)*6</f>
        <v>0</v>
      </c>
      <c r="Z103" s="177">
        <v>0.30659999999999998</v>
      </c>
      <c r="AA103" s="176"/>
    </row>
    <row r="104" spans="1:27" ht="30" x14ac:dyDescent="0.25">
      <c r="A104" s="403"/>
      <c r="B104" s="405"/>
      <c r="C104" s="414"/>
      <c r="D104" s="185"/>
      <c r="E104" s="185" t="s">
        <v>1028</v>
      </c>
      <c r="F104" s="185"/>
      <c r="G104" s="185"/>
      <c r="H104" s="181"/>
      <c r="I104" s="181"/>
      <c r="J104" s="176"/>
      <c r="L104" s="180">
        <v>8</v>
      </c>
      <c r="M104" s="179" t="s">
        <v>1026</v>
      </c>
      <c r="N104" s="185"/>
      <c r="O104" s="185"/>
      <c r="P104" s="185"/>
      <c r="Q104" s="185"/>
      <c r="R104" s="179"/>
      <c r="S104" s="185"/>
      <c r="T104" s="185"/>
      <c r="U104" s="185"/>
      <c r="V104" s="185"/>
      <c r="W104" s="179"/>
      <c r="X104" s="178"/>
      <c r="Y104" s="185"/>
      <c r="Z104" s="177"/>
      <c r="AA104" s="176"/>
    </row>
    <row r="105" spans="1:27" x14ac:dyDescent="0.25">
      <c r="A105" s="403"/>
      <c r="B105" s="405"/>
      <c r="C105" s="414"/>
      <c r="D105" s="185"/>
      <c r="E105" s="185" t="s">
        <v>1043</v>
      </c>
      <c r="F105" s="185"/>
      <c r="G105" s="185"/>
      <c r="H105" s="181"/>
      <c r="I105" s="181"/>
      <c r="J105" s="176"/>
      <c r="L105" s="180">
        <v>16</v>
      </c>
      <c r="M105" s="179" t="s">
        <v>1026</v>
      </c>
      <c r="N105" s="185"/>
      <c r="O105" s="185"/>
      <c r="P105" s="185"/>
      <c r="Q105" s="185"/>
      <c r="R105" s="179"/>
      <c r="S105" s="185"/>
      <c r="T105" s="185"/>
      <c r="U105" s="185"/>
      <c r="V105" s="185"/>
      <c r="W105" s="179"/>
      <c r="X105" s="178"/>
      <c r="Y105" s="185"/>
      <c r="Z105" s="177"/>
      <c r="AA105" s="176"/>
    </row>
    <row r="106" spans="1:27" ht="30" x14ac:dyDescent="0.25">
      <c r="A106" s="403"/>
      <c r="B106" s="405"/>
      <c r="C106" s="414"/>
      <c r="D106" s="185" t="s">
        <v>1045</v>
      </c>
      <c r="E106" s="185" t="s">
        <v>1038</v>
      </c>
      <c r="F106" s="185"/>
      <c r="G106" s="185" t="s">
        <v>929</v>
      </c>
      <c r="H106" s="187">
        <f>I106*J106</f>
        <v>0</v>
      </c>
      <c r="I106" s="187">
        <f>X106*Z106+Y106</f>
        <v>14.657932799999999</v>
      </c>
      <c r="J106" s="176"/>
      <c r="L106" s="180">
        <v>8</v>
      </c>
      <c r="M106" s="179" t="s">
        <v>1026</v>
      </c>
      <c r="N106" s="185"/>
      <c r="O106" s="185"/>
      <c r="P106" s="185"/>
      <c r="Q106" s="185"/>
      <c r="R106" s="179"/>
      <c r="S106" s="185"/>
      <c r="T106" s="185"/>
      <c r="U106" s="185"/>
      <c r="V106" s="185"/>
      <c r="W106" s="179"/>
      <c r="X106" s="178">
        <f>(L106*M106+L107*M107+L108*M108)*6</f>
        <v>47.808</v>
      </c>
      <c r="Y106" s="185">
        <f>(P106*Q106*R106+V106*W106)*6</f>
        <v>0</v>
      </c>
      <c r="Z106" s="177">
        <v>0.30659999999999998</v>
      </c>
      <c r="AA106" s="176"/>
    </row>
    <row r="107" spans="1:27" ht="30" x14ac:dyDescent="0.25">
      <c r="A107" s="403"/>
      <c r="B107" s="405"/>
      <c r="C107" s="414"/>
      <c r="D107" s="185"/>
      <c r="E107" s="185" t="s">
        <v>1028</v>
      </c>
      <c r="F107" s="185"/>
      <c r="G107" s="185"/>
      <c r="H107" s="181"/>
      <c r="I107" s="181"/>
      <c r="J107" s="176"/>
      <c r="L107" s="180">
        <v>16</v>
      </c>
      <c r="M107" s="179" t="s">
        <v>1026</v>
      </c>
      <c r="N107" s="185"/>
      <c r="O107" s="185"/>
      <c r="P107" s="185"/>
      <c r="Q107" s="185"/>
      <c r="R107" s="179"/>
      <c r="S107" s="185"/>
      <c r="T107" s="185"/>
      <c r="U107" s="185"/>
      <c r="V107" s="185"/>
      <c r="W107" s="179"/>
      <c r="X107" s="178"/>
      <c r="Y107" s="185"/>
      <c r="Z107" s="177"/>
      <c r="AA107" s="176"/>
    </row>
    <row r="108" spans="1:27" x14ac:dyDescent="0.25">
      <c r="A108" s="403"/>
      <c r="B108" s="405"/>
      <c r="C108" s="414"/>
      <c r="D108" s="185"/>
      <c r="E108" s="185" t="s">
        <v>1043</v>
      </c>
      <c r="F108" s="185"/>
      <c r="G108" s="185"/>
      <c r="H108" s="181"/>
      <c r="I108" s="181"/>
      <c r="J108" s="176"/>
      <c r="L108" s="180">
        <v>24</v>
      </c>
      <c r="M108" s="179" t="s">
        <v>1026</v>
      </c>
      <c r="N108" s="185"/>
      <c r="O108" s="185"/>
      <c r="P108" s="185"/>
      <c r="Q108" s="185"/>
      <c r="R108" s="179"/>
      <c r="S108" s="185"/>
      <c r="T108" s="185"/>
      <c r="U108" s="185"/>
      <c r="V108" s="185"/>
      <c r="W108" s="179"/>
      <c r="X108" s="178"/>
      <c r="Y108" s="185"/>
      <c r="Z108" s="177"/>
      <c r="AA108" s="176"/>
    </row>
    <row r="109" spans="1:27" ht="30" x14ac:dyDescent="0.25">
      <c r="A109" s="403"/>
      <c r="B109" s="405"/>
      <c r="C109" s="414"/>
      <c r="D109" s="185" t="s">
        <v>1044</v>
      </c>
      <c r="E109" s="185" t="s">
        <v>1036</v>
      </c>
      <c r="F109" s="185"/>
      <c r="G109" s="185" t="s">
        <v>929</v>
      </c>
      <c r="H109" s="187">
        <f>I109*J109</f>
        <v>0</v>
      </c>
      <c r="I109" s="187">
        <f>X109*Z109+Y109</f>
        <v>29.315865599999999</v>
      </c>
      <c r="J109" s="176"/>
      <c r="L109" s="180">
        <v>16</v>
      </c>
      <c r="M109" s="179" t="s">
        <v>1026</v>
      </c>
      <c r="N109" s="185"/>
      <c r="O109" s="185"/>
      <c r="P109" s="185"/>
      <c r="Q109" s="185"/>
      <c r="R109" s="179"/>
      <c r="S109" s="185"/>
      <c r="T109" s="185"/>
      <c r="U109" s="185"/>
      <c r="V109" s="185"/>
      <c r="W109" s="179"/>
      <c r="X109" s="178">
        <f>(L109*M109+L110*M110+L111*M111)*6</f>
        <v>95.616</v>
      </c>
      <c r="Y109" s="185">
        <f>(P109*Q109*R109+V109*W109)*6</f>
        <v>0</v>
      </c>
      <c r="Z109" s="177">
        <v>0.30659999999999998</v>
      </c>
      <c r="AA109" s="176"/>
    </row>
    <row r="110" spans="1:27" ht="30" x14ac:dyDescent="0.25">
      <c r="A110" s="403"/>
      <c r="B110" s="405"/>
      <c r="C110" s="414"/>
      <c r="D110" s="185"/>
      <c r="E110" s="185" t="s">
        <v>1028</v>
      </c>
      <c r="F110" s="185"/>
      <c r="G110" s="185"/>
      <c r="H110" s="181"/>
      <c r="I110" s="181"/>
      <c r="J110" s="176"/>
      <c r="L110" s="180">
        <v>32</v>
      </c>
      <c r="M110" s="179" t="s">
        <v>1026</v>
      </c>
      <c r="N110" s="185"/>
      <c r="O110" s="185"/>
      <c r="P110" s="185"/>
      <c r="Q110" s="185"/>
      <c r="R110" s="179"/>
      <c r="S110" s="185"/>
      <c r="T110" s="185"/>
      <c r="U110" s="185"/>
      <c r="V110" s="185"/>
      <c r="W110" s="179"/>
      <c r="X110" s="178"/>
      <c r="Y110" s="185"/>
      <c r="Z110" s="177"/>
      <c r="AA110" s="176"/>
    </row>
    <row r="111" spans="1:27" x14ac:dyDescent="0.25">
      <c r="A111" s="403"/>
      <c r="B111" s="405"/>
      <c r="C111" s="415"/>
      <c r="D111" s="185"/>
      <c r="E111" s="185" t="s">
        <v>1043</v>
      </c>
      <c r="F111" s="185"/>
      <c r="G111" s="185"/>
      <c r="H111" s="181"/>
      <c r="I111" s="181"/>
      <c r="J111" s="176"/>
      <c r="L111" s="180">
        <v>48</v>
      </c>
      <c r="M111" s="179" t="s">
        <v>1026</v>
      </c>
      <c r="N111" s="185"/>
      <c r="O111" s="185"/>
      <c r="P111" s="185"/>
      <c r="Q111" s="185"/>
      <c r="R111" s="179"/>
      <c r="S111" s="185"/>
      <c r="T111" s="185"/>
      <c r="U111" s="185"/>
      <c r="V111" s="185"/>
      <c r="W111" s="179"/>
      <c r="X111" s="178"/>
      <c r="Y111" s="185"/>
      <c r="Z111" s="177"/>
      <c r="AA111" s="176"/>
    </row>
    <row r="112" spans="1:27" x14ac:dyDescent="0.25">
      <c r="A112" s="403"/>
      <c r="B112" s="405"/>
      <c r="C112" s="413" t="s">
        <v>1042</v>
      </c>
      <c r="D112" s="185" t="s">
        <v>1041</v>
      </c>
      <c r="E112" s="185" t="s">
        <v>1040</v>
      </c>
      <c r="F112" s="185"/>
      <c r="G112" s="185" t="s">
        <v>929</v>
      </c>
      <c r="H112" s="187">
        <f>I112*J112</f>
        <v>0</v>
      </c>
      <c r="I112" s="187">
        <f>X112*Z112+Y112</f>
        <v>8.5504607999999998</v>
      </c>
      <c r="J112" s="176"/>
      <c r="L112" s="180">
        <v>4</v>
      </c>
      <c r="M112" s="179" t="s">
        <v>1026</v>
      </c>
      <c r="N112" s="185"/>
      <c r="O112" s="185"/>
      <c r="P112" s="185"/>
      <c r="Q112" s="185"/>
      <c r="R112" s="179"/>
      <c r="S112" s="185"/>
      <c r="T112" s="185"/>
      <c r="U112" s="185"/>
      <c r="V112" s="185"/>
      <c r="W112" s="179"/>
      <c r="X112" s="178">
        <f>(L112*M112+L113*M113+L114*M114)*6</f>
        <v>27.887999999999998</v>
      </c>
      <c r="Y112" s="185">
        <f>(P112*Q112*R112+V112*W112)*6</f>
        <v>0</v>
      </c>
      <c r="Z112" s="177">
        <v>0.30659999999999998</v>
      </c>
      <c r="AA112" s="176"/>
    </row>
    <row r="113" spans="1:27" ht="30" x14ac:dyDescent="0.25">
      <c r="A113" s="403"/>
      <c r="B113" s="405"/>
      <c r="C113" s="414"/>
      <c r="D113" s="185"/>
      <c r="E113" s="185" t="s">
        <v>1028</v>
      </c>
      <c r="F113" s="185"/>
      <c r="G113" s="185"/>
      <c r="H113" s="181"/>
      <c r="I113" s="181"/>
      <c r="J113" s="176"/>
      <c r="L113" s="180">
        <v>8</v>
      </c>
      <c r="M113" s="179" t="s">
        <v>1026</v>
      </c>
      <c r="N113" s="185"/>
      <c r="O113" s="185"/>
      <c r="P113" s="185"/>
      <c r="Q113" s="185"/>
      <c r="R113" s="179"/>
      <c r="S113" s="185"/>
      <c r="T113" s="185"/>
      <c r="U113" s="185"/>
      <c r="V113" s="185"/>
      <c r="W113" s="179"/>
      <c r="X113" s="178"/>
      <c r="Y113" s="185"/>
      <c r="Z113" s="177"/>
      <c r="AA113" s="176"/>
    </row>
    <row r="114" spans="1:27" x14ac:dyDescent="0.25">
      <c r="A114" s="403"/>
      <c r="B114" s="405"/>
      <c r="C114" s="414"/>
      <c r="D114" s="185"/>
      <c r="E114" s="185" t="s">
        <v>1035</v>
      </c>
      <c r="F114" s="185"/>
      <c r="G114" s="185"/>
      <c r="H114" s="181"/>
      <c r="I114" s="181"/>
      <c r="J114" s="176"/>
      <c r="L114" s="180">
        <v>16</v>
      </c>
      <c r="M114" s="179" t="s">
        <v>1026</v>
      </c>
      <c r="N114" s="185"/>
      <c r="O114" s="185"/>
      <c r="P114" s="185"/>
      <c r="Q114" s="185"/>
      <c r="R114" s="179"/>
      <c r="S114" s="185"/>
      <c r="T114" s="185"/>
      <c r="U114" s="185"/>
      <c r="V114" s="185"/>
      <c r="W114" s="179"/>
      <c r="X114" s="178"/>
      <c r="Y114" s="185"/>
      <c r="Z114" s="177"/>
      <c r="AA114" s="176"/>
    </row>
    <row r="115" spans="1:27" ht="30" x14ac:dyDescent="0.25">
      <c r="A115" s="403"/>
      <c r="B115" s="405"/>
      <c r="C115" s="414"/>
      <c r="D115" s="185" t="s">
        <v>1039</v>
      </c>
      <c r="E115" s="185" t="s">
        <v>1038</v>
      </c>
      <c r="F115" s="185"/>
      <c r="G115" s="185" t="s">
        <v>929</v>
      </c>
      <c r="H115" s="187">
        <f>I115*J115</f>
        <v>0</v>
      </c>
      <c r="I115" s="187">
        <f>X115*Z115+Y115</f>
        <v>14.657932799999999</v>
      </c>
      <c r="J115" s="176"/>
      <c r="L115" s="180">
        <v>8</v>
      </c>
      <c r="M115" s="179" t="s">
        <v>1026</v>
      </c>
      <c r="N115" s="185"/>
      <c r="O115" s="185"/>
      <c r="P115" s="185"/>
      <c r="Q115" s="185"/>
      <c r="R115" s="179"/>
      <c r="S115" s="185"/>
      <c r="T115" s="185"/>
      <c r="U115" s="185"/>
      <c r="V115" s="185"/>
      <c r="W115" s="179"/>
      <c r="X115" s="178">
        <f>(L115*M115+L116*M116+L117*M117)*6</f>
        <v>47.808</v>
      </c>
      <c r="Y115" s="185">
        <f>(P115*Q115*R115+V115*W115)*6</f>
        <v>0</v>
      </c>
      <c r="Z115" s="177">
        <v>0.30659999999999998</v>
      </c>
      <c r="AA115" s="176"/>
    </row>
    <row r="116" spans="1:27" ht="30" x14ac:dyDescent="0.25">
      <c r="A116" s="403"/>
      <c r="B116" s="405"/>
      <c r="C116" s="414"/>
      <c r="D116" s="185"/>
      <c r="E116" s="185" t="s">
        <v>1028</v>
      </c>
      <c r="F116" s="185"/>
      <c r="G116" s="185"/>
      <c r="H116" s="181"/>
      <c r="I116" s="181"/>
      <c r="J116" s="176"/>
      <c r="L116" s="180">
        <v>16</v>
      </c>
      <c r="M116" s="179" t="s">
        <v>1026</v>
      </c>
      <c r="N116" s="185"/>
      <c r="O116" s="185"/>
      <c r="P116" s="185"/>
      <c r="Q116" s="185"/>
      <c r="R116" s="179"/>
      <c r="S116" s="185"/>
      <c r="T116" s="185"/>
      <c r="U116" s="185"/>
      <c r="V116" s="185"/>
      <c r="W116" s="179"/>
      <c r="X116" s="178"/>
      <c r="Y116" s="185"/>
      <c r="Z116" s="177"/>
      <c r="AA116" s="176"/>
    </row>
    <row r="117" spans="1:27" x14ac:dyDescent="0.25">
      <c r="A117" s="403"/>
      <c r="B117" s="405"/>
      <c r="C117" s="414"/>
      <c r="D117" s="185"/>
      <c r="E117" s="185" t="s">
        <v>1035</v>
      </c>
      <c r="F117" s="185"/>
      <c r="G117" s="185"/>
      <c r="H117" s="181"/>
      <c r="I117" s="181"/>
      <c r="J117" s="176"/>
      <c r="L117" s="180">
        <v>24</v>
      </c>
      <c r="M117" s="179" t="s">
        <v>1026</v>
      </c>
      <c r="N117" s="185"/>
      <c r="O117" s="185"/>
      <c r="P117" s="185"/>
      <c r="Q117" s="185"/>
      <c r="R117" s="179"/>
      <c r="S117" s="185"/>
      <c r="T117" s="185"/>
      <c r="U117" s="185"/>
      <c r="V117" s="185"/>
      <c r="W117" s="179"/>
      <c r="X117" s="178"/>
      <c r="Y117" s="185"/>
      <c r="Z117" s="177"/>
      <c r="AA117" s="176"/>
    </row>
    <row r="118" spans="1:27" ht="30" x14ac:dyDescent="0.25">
      <c r="A118" s="403"/>
      <c r="B118" s="405"/>
      <c r="C118" s="414"/>
      <c r="D118" s="185" t="s">
        <v>1037</v>
      </c>
      <c r="E118" s="185" t="s">
        <v>1036</v>
      </c>
      <c r="F118" s="185"/>
      <c r="G118" s="185" t="s">
        <v>929</v>
      </c>
      <c r="H118" s="187">
        <f>I118*J118</f>
        <v>0</v>
      </c>
      <c r="I118" s="187">
        <f>X118*Z118+Y118</f>
        <v>29.315865599999999</v>
      </c>
      <c r="J118" s="176"/>
      <c r="L118" s="180">
        <v>16</v>
      </c>
      <c r="M118" s="179" t="s">
        <v>1026</v>
      </c>
      <c r="N118" s="185"/>
      <c r="O118" s="185"/>
      <c r="P118" s="185"/>
      <c r="Q118" s="185"/>
      <c r="R118" s="179"/>
      <c r="S118" s="185"/>
      <c r="T118" s="185"/>
      <c r="U118" s="185"/>
      <c r="V118" s="185"/>
      <c r="W118" s="179"/>
      <c r="X118" s="178">
        <f>(L118*M118+L119*M119+L120*M120)*6</f>
        <v>95.616</v>
      </c>
      <c r="Y118" s="185">
        <f>(P118*Q118*R118+V118*W118)*6</f>
        <v>0</v>
      </c>
      <c r="Z118" s="177">
        <v>0.30659999999999998</v>
      </c>
      <c r="AA118" s="176"/>
    </row>
    <row r="119" spans="1:27" ht="30" x14ac:dyDescent="0.25">
      <c r="A119" s="403"/>
      <c r="B119" s="405"/>
      <c r="C119" s="414"/>
      <c r="D119" s="185"/>
      <c r="E119" s="185" t="s">
        <v>1028</v>
      </c>
      <c r="F119" s="185"/>
      <c r="G119" s="185"/>
      <c r="H119" s="181"/>
      <c r="I119" s="181"/>
      <c r="J119" s="176"/>
      <c r="L119" s="180">
        <v>32</v>
      </c>
      <c r="M119" s="179" t="s">
        <v>1026</v>
      </c>
      <c r="N119" s="185"/>
      <c r="O119" s="185"/>
      <c r="P119" s="185"/>
      <c r="Q119" s="185"/>
      <c r="R119" s="179"/>
      <c r="S119" s="185"/>
      <c r="T119" s="185"/>
      <c r="U119" s="185"/>
      <c r="V119" s="185"/>
      <c r="W119" s="179"/>
      <c r="X119" s="178"/>
      <c r="Y119" s="185"/>
      <c r="Z119" s="177"/>
      <c r="AA119" s="176"/>
    </row>
    <row r="120" spans="1:27" x14ac:dyDescent="0.25">
      <c r="A120" s="403"/>
      <c r="B120" s="405"/>
      <c r="C120" s="415"/>
      <c r="D120" s="185"/>
      <c r="E120" s="185" t="s">
        <v>1035</v>
      </c>
      <c r="F120" s="185"/>
      <c r="G120" s="185"/>
      <c r="H120" s="181"/>
      <c r="I120" s="181"/>
      <c r="J120" s="176"/>
      <c r="L120" s="180">
        <v>48</v>
      </c>
      <c r="M120" s="179" t="s">
        <v>1026</v>
      </c>
      <c r="N120" s="185"/>
      <c r="O120" s="185"/>
      <c r="P120" s="185"/>
      <c r="Q120" s="185"/>
      <c r="R120" s="179"/>
      <c r="S120" s="185"/>
      <c r="T120" s="185"/>
      <c r="U120" s="185"/>
      <c r="V120" s="185"/>
      <c r="W120" s="179"/>
      <c r="X120" s="178"/>
      <c r="Y120" s="185"/>
      <c r="Z120" s="177"/>
      <c r="AA120" s="176"/>
    </row>
    <row r="121" spans="1:27" x14ac:dyDescent="0.25">
      <c r="A121" s="403"/>
      <c r="B121" s="405"/>
      <c r="C121" s="413" t="s">
        <v>1034</v>
      </c>
      <c r="D121" s="185" t="s">
        <v>1033</v>
      </c>
      <c r="E121" s="185" t="s">
        <v>1032</v>
      </c>
      <c r="F121" s="185"/>
      <c r="G121" s="185" t="s">
        <v>929</v>
      </c>
      <c r="H121" s="187">
        <f>I121*J121</f>
        <v>0</v>
      </c>
      <c r="I121" s="187">
        <f>X121*Z121+Y121</f>
        <v>8.5504607999999998</v>
      </c>
      <c r="J121" s="176"/>
      <c r="L121" s="180">
        <v>4</v>
      </c>
      <c r="M121" s="179" t="s">
        <v>1026</v>
      </c>
      <c r="N121" s="185"/>
      <c r="O121" s="185"/>
      <c r="P121" s="185"/>
      <c r="Q121" s="185"/>
      <c r="R121" s="179"/>
      <c r="S121" s="185"/>
      <c r="T121" s="185"/>
      <c r="U121" s="185"/>
      <c r="V121" s="185"/>
      <c r="W121" s="179"/>
      <c r="X121" s="178">
        <f>(L121*M121+L122*M122+L123*M123)*6</f>
        <v>27.887999999999998</v>
      </c>
      <c r="Y121" s="185">
        <f>(P121*Q121*R121+V121*W121)*6</f>
        <v>0</v>
      </c>
      <c r="Z121" s="177">
        <v>0.30659999999999998</v>
      </c>
      <c r="AA121" s="176"/>
    </row>
    <row r="122" spans="1:27" ht="30" x14ac:dyDescent="0.25">
      <c r="A122" s="403"/>
      <c r="B122" s="405"/>
      <c r="C122" s="414"/>
      <c r="D122" s="185"/>
      <c r="E122" s="185" t="s">
        <v>1028</v>
      </c>
      <c r="F122" s="185"/>
      <c r="G122" s="185"/>
      <c r="H122" s="181"/>
      <c r="I122" s="181"/>
      <c r="J122" s="176"/>
      <c r="L122" s="180">
        <v>8</v>
      </c>
      <c r="M122" s="179" t="s">
        <v>1026</v>
      </c>
      <c r="N122" s="185"/>
      <c r="O122" s="185"/>
      <c r="P122" s="185"/>
      <c r="Q122" s="185"/>
      <c r="R122" s="179"/>
      <c r="S122" s="185"/>
      <c r="T122" s="185"/>
      <c r="U122" s="185"/>
      <c r="V122" s="185"/>
      <c r="W122" s="179"/>
      <c r="X122" s="178"/>
      <c r="Y122" s="185"/>
      <c r="Z122" s="177"/>
      <c r="AA122" s="176"/>
    </row>
    <row r="123" spans="1:27" x14ac:dyDescent="0.25">
      <c r="A123" s="403"/>
      <c r="B123" s="405"/>
      <c r="C123" s="414"/>
      <c r="D123" s="185"/>
      <c r="E123" s="185" t="s">
        <v>1027</v>
      </c>
      <c r="F123" s="185"/>
      <c r="G123" s="185"/>
      <c r="H123" s="181"/>
      <c r="I123" s="181"/>
      <c r="J123" s="176"/>
      <c r="L123" s="180">
        <v>16</v>
      </c>
      <c r="M123" s="179" t="s">
        <v>1026</v>
      </c>
      <c r="N123" s="185"/>
      <c r="O123" s="185"/>
      <c r="P123" s="185"/>
      <c r="Q123" s="185"/>
      <c r="R123" s="179"/>
      <c r="S123" s="185"/>
      <c r="T123" s="185"/>
      <c r="U123" s="185"/>
      <c r="V123" s="185"/>
      <c r="W123" s="179"/>
      <c r="X123" s="178"/>
      <c r="Y123" s="185"/>
      <c r="Z123" s="177"/>
      <c r="AA123" s="176"/>
    </row>
    <row r="124" spans="1:27" x14ac:dyDescent="0.25">
      <c r="A124" s="403"/>
      <c r="B124" s="405"/>
      <c r="C124" s="414"/>
      <c r="D124" s="185" t="s">
        <v>1031</v>
      </c>
      <c r="E124" s="185" t="s">
        <v>1029</v>
      </c>
      <c r="F124" s="185"/>
      <c r="G124" s="185" t="s">
        <v>929</v>
      </c>
      <c r="H124" s="187">
        <f>I124*J124</f>
        <v>0</v>
      </c>
      <c r="I124" s="187">
        <f>X124*Z124+Y124</f>
        <v>14.657932799999999</v>
      </c>
      <c r="J124" s="176"/>
      <c r="L124" s="180">
        <v>8</v>
      </c>
      <c r="M124" s="179" t="s">
        <v>1026</v>
      </c>
      <c r="N124" s="185"/>
      <c r="O124" s="185"/>
      <c r="P124" s="185"/>
      <c r="Q124" s="185"/>
      <c r="R124" s="179"/>
      <c r="S124" s="185"/>
      <c r="T124" s="185"/>
      <c r="U124" s="185"/>
      <c r="V124" s="185"/>
      <c r="W124" s="179"/>
      <c r="X124" s="178">
        <f>(L124*M124+L125*M125+L126*M126)*6</f>
        <v>47.808</v>
      </c>
      <c r="Y124" s="185">
        <f>(P124*Q124*R124+V124*W124)*6</f>
        <v>0</v>
      </c>
      <c r="Z124" s="177">
        <v>0.30659999999999998</v>
      </c>
      <c r="AA124" s="176"/>
    </row>
    <row r="125" spans="1:27" ht="30" x14ac:dyDescent="0.25">
      <c r="A125" s="403"/>
      <c r="B125" s="405"/>
      <c r="C125" s="414"/>
      <c r="D125" s="185"/>
      <c r="E125" s="185" t="s">
        <v>1028</v>
      </c>
      <c r="F125" s="185"/>
      <c r="G125" s="185"/>
      <c r="H125" s="181"/>
      <c r="I125" s="181"/>
      <c r="J125" s="176"/>
      <c r="L125" s="180">
        <v>16</v>
      </c>
      <c r="M125" s="179" t="s">
        <v>1026</v>
      </c>
      <c r="N125" s="185"/>
      <c r="O125" s="185"/>
      <c r="P125" s="185"/>
      <c r="Q125" s="185"/>
      <c r="R125" s="179"/>
      <c r="S125" s="185"/>
      <c r="T125" s="185"/>
      <c r="U125" s="185"/>
      <c r="V125" s="185"/>
      <c r="W125" s="179"/>
      <c r="X125" s="178"/>
      <c r="Y125" s="185"/>
      <c r="Z125" s="177"/>
      <c r="AA125" s="176"/>
    </row>
    <row r="126" spans="1:27" x14ac:dyDescent="0.25">
      <c r="A126" s="403"/>
      <c r="B126" s="405"/>
      <c r="C126" s="414"/>
      <c r="D126" s="185"/>
      <c r="E126" s="185" t="s">
        <v>1027</v>
      </c>
      <c r="F126" s="185"/>
      <c r="G126" s="185"/>
      <c r="H126" s="181"/>
      <c r="I126" s="181"/>
      <c r="J126" s="176"/>
      <c r="L126" s="180">
        <v>24</v>
      </c>
      <c r="M126" s="179" t="s">
        <v>1026</v>
      </c>
      <c r="N126" s="185"/>
      <c r="O126" s="185"/>
      <c r="P126" s="185"/>
      <c r="Q126" s="185"/>
      <c r="R126" s="179"/>
      <c r="S126" s="185"/>
      <c r="T126" s="185"/>
      <c r="U126" s="185"/>
      <c r="V126" s="185"/>
      <c r="W126" s="179"/>
      <c r="X126" s="178"/>
      <c r="Y126" s="185"/>
      <c r="Z126" s="177"/>
      <c r="AA126" s="176"/>
    </row>
    <row r="127" spans="1:27" ht="30" x14ac:dyDescent="0.25">
      <c r="A127" s="403"/>
      <c r="B127" s="405"/>
      <c r="C127" s="414"/>
      <c r="D127" s="185" t="s">
        <v>1030</v>
      </c>
      <c r="E127" s="185" t="s">
        <v>1029</v>
      </c>
      <c r="F127" s="185"/>
      <c r="G127" s="185" t="s">
        <v>929</v>
      </c>
      <c r="H127" s="187">
        <f>I127*J127</f>
        <v>0</v>
      </c>
      <c r="I127" s="187">
        <f>X127*Z127+Y127</f>
        <v>29.315865599999999</v>
      </c>
      <c r="J127" s="176"/>
      <c r="L127" s="180">
        <v>16</v>
      </c>
      <c r="M127" s="179" t="s">
        <v>1026</v>
      </c>
      <c r="N127" s="185"/>
      <c r="O127" s="185"/>
      <c r="P127" s="185"/>
      <c r="Q127" s="185"/>
      <c r="R127" s="179"/>
      <c r="S127" s="185"/>
      <c r="T127" s="185"/>
      <c r="U127" s="185"/>
      <c r="V127" s="185"/>
      <c r="W127" s="179"/>
      <c r="X127" s="178">
        <f>(L127*M127+L128*M128+L129*M129)*6</f>
        <v>95.616</v>
      </c>
      <c r="Y127" s="185">
        <f>(P127*Q127*R127+V127*W127)*6</f>
        <v>0</v>
      </c>
      <c r="Z127" s="177">
        <v>0.30659999999999998</v>
      </c>
      <c r="AA127" s="176"/>
    </row>
    <row r="128" spans="1:27" ht="30" x14ac:dyDescent="0.25">
      <c r="A128" s="403"/>
      <c r="B128" s="405"/>
      <c r="C128" s="414"/>
      <c r="D128" s="185"/>
      <c r="E128" s="185" t="s">
        <v>1028</v>
      </c>
      <c r="F128" s="185"/>
      <c r="G128" s="185"/>
      <c r="H128" s="181"/>
      <c r="I128" s="181"/>
      <c r="J128" s="176"/>
      <c r="L128" s="180">
        <v>32</v>
      </c>
      <c r="M128" s="179" t="s">
        <v>1026</v>
      </c>
      <c r="N128" s="185"/>
      <c r="O128" s="185"/>
      <c r="P128" s="185"/>
      <c r="Q128" s="185"/>
      <c r="R128" s="179"/>
      <c r="S128" s="185"/>
      <c r="T128" s="185"/>
      <c r="U128" s="185"/>
      <c r="V128" s="185"/>
      <c r="W128" s="179"/>
      <c r="X128" s="178"/>
      <c r="Y128" s="185"/>
      <c r="Z128" s="177"/>
      <c r="AA128" s="176"/>
    </row>
    <row r="129" spans="1:29" x14ac:dyDescent="0.25">
      <c r="A129" s="403"/>
      <c r="B129" s="405"/>
      <c r="C129" s="415"/>
      <c r="D129" s="185"/>
      <c r="E129" s="185" t="s">
        <v>1027</v>
      </c>
      <c r="F129" s="185"/>
      <c r="G129" s="185"/>
      <c r="H129" s="181"/>
      <c r="I129" s="181"/>
      <c r="J129" s="176"/>
      <c r="L129" s="180">
        <v>48</v>
      </c>
      <c r="M129" s="179" t="s">
        <v>1026</v>
      </c>
      <c r="N129" s="185"/>
      <c r="O129" s="185"/>
      <c r="P129" s="185"/>
      <c r="Q129" s="185"/>
      <c r="R129" s="179"/>
      <c r="S129" s="185"/>
      <c r="T129" s="185"/>
      <c r="U129" s="185"/>
      <c r="V129" s="185"/>
      <c r="W129" s="179"/>
      <c r="X129" s="178"/>
      <c r="Y129" s="185"/>
      <c r="Z129" s="177"/>
      <c r="AA129" s="176"/>
    </row>
    <row r="130" spans="1:29" x14ac:dyDescent="0.25">
      <c r="A130" s="403">
        <v>4</v>
      </c>
      <c r="B130" s="405" t="s">
        <v>1025</v>
      </c>
      <c r="C130" s="413" t="s">
        <v>1024</v>
      </c>
      <c r="D130" s="185"/>
      <c r="E130" s="185"/>
      <c r="F130" s="185"/>
      <c r="G130" s="185"/>
      <c r="H130" s="181"/>
      <c r="I130" s="181"/>
      <c r="J130" s="176"/>
      <c r="L130" s="180"/>
      <c r="M130" s="179"/>
      <c r="N130" s="185"/>
      <c r="O130" s="185"/>
      <c r="P130" s="185"/>
      <c r="Q130" s="185"/>
      <c r="R130" s="179"/>
      <c r="S130" s="185"/>
      <c r="T130" s="185"/>
      <c r="U130" s="185"/>
      <c r="V130" s="185"/>
      <c r="W130" s="179"/>
      <c r="X130" s="178"/>
      <c r="Y130" s="185"/>
      <c r="Z130" s="177"/>
      <c r="AA130" s="176"/>
    </row>
    <row r="131" spans="1:29" x14ac:dyDescent="0.25">
      <c r="A131" s="403"/>
      <c r="B131" s="405"/>
      <c r="C131" s="414"/>
      <c r="D131" s="185"/>
      <c r="E131" s="185"/>
      <c r="F131" s="185"/>
      <c r="G131" s="185"/>
      <c r="H131" s="181"/>
      <c r="I131" s="181"/>
      <c r="J131" s="176"/>
      <c r="L131" s="180"/>
      <c r="M131" s="179"/>
      <c r="N131" s="185"/>
      <c r="O131" s="185"/>
      <c r="P131" s="185"/>
      <c r="Q131" s="185"/>
      <c r="R131" s="179"/>
      <c r="S131" s="185"/>
      <c r="T131" s="185"/>
      <c r="U131" s="185"/>
      <c r="V131" s="185"/>
      <c r="W131" s="179"/>
      <c r="X131" s="178"/>
      <c r="Y131" s="185"/>
      <c r="Z131" s="177"/>
      <c r="AA131" s="176"/>
    </row>
    <row r="132" spans="1:29" x14ac:dyDescent="0.25">
      <c r="A132" s="403"/>
      <c r="B132" s="405"/>
      <c r="C132" s="414"/>
      <c r="D132" s="185"/>
      <c r="E132" s="185"/>
      <c r="F132" s="185"/>
      <c r="G132" s="185"/>
      <c r="H132" s="181"/>
      <c r="I132" s="181"/>
      <c r="J132" s="176"/>
      <c r="L132" s="180"/>
      <c r="M132" s="179"/>
      <c r="N132" s="185"/>
      <c r="O132" s="185"/>
      <c r="P132" s="185"/>
      <c r="Q132" s="185"/>
      <c r="R132" s="179"/>
      <c r="S132" s="185"/>
      <c r="T132" s="185"/>
      <c r="U132" s="185"/>
      <c r="V132" s="185"/>
      <c r="W132" s="179"/>
      <c r="X132" s="178"/>
      <c r="Y132" s="185"/>
      <c r="Z132" s="177"/>
      <c r="AA132" s="176"/>
    </row>
    <row r="133" spans="1:29" x14ac:dyDescent="0.25">
      <c r="A133" s="403"/>
      <c r="B133" s="405"/>
      <c r="C133" s="414"/>
      <c r="D133" s="185"/>
      <c r="E133" s="185"/>
      <c r="F133" s="185"/>
      <c r="G133" s="185"/>
      <c r="H133" s="181"/>
      <c r="I133" s="181"/>
      <c r="J133" s="176"/>
      <c r="L133" s="180"/>
      <c r="M133" s="179"/>
      <c r="N133" s="185"/>
      <c r="O133" s="185"/>
      <c r="P133" s="185"/>
      <c r="Q133" s="185"/>
      <c r="R133" s="179"/>
      <c r="S133" s="185"/>
      <c r="T133" s="185"/>
      <c r="U133" s="185"/>
      <c r="V133" s="185"/>
      <c r="W133" s="179"/>
      <c r="X133" s="178"/>
      <c r="Y133" s="185"/>
      <c r="Z133" s="177"/>
      <c r="AA133" s="176"/>
    </row>
    <row r="134" spans="1:29" x14ac:dyDescent="0.25">
      <c r="A134" s="403"/>
      <c r="B134" s="405"/>
      <c r="C134" s="414"/>
      <c r="D134" s="185"/>
      <c r="E134" s="185"/>
      <c r="F134" s="185"/>
      <c r="G134" s="185"/>
      <c r="H134" s="181"/>
      <c r="I134" s="181"/>
      <c r="J134" s="176"/>
      <c r="L134" s="180"/>
      <c r="M134" s="179"/>
      <c r="N134" s="185"/>
      <c r="O134" s="185"/>
      <c r="P134" s="185"/>
      <c r="Q134" s="185"/>
      <c r="R134" s="179"/>
      <c r="S134" s="185"/>
      <c r="T134" s="185"/>
      <c r="U134" s="185"/>
      <c r="V134" s="185"/>
      <c r="W134" s="179"/>
      <c r="X134" s="178"/>
      <c r="Y134" s="185"/>
      <c r="Z134" s="177"/>
      <c r="AA134" s="176"/>
    </row>
    <row r="135" spans="1:29" x14ac:dyDescent="0.25">
      <c r="A135" s="403"/>
      <c r="B135" s="405"/>
      <c r="C135" s="415"/>
      <c r="D135" s="185"/>
      <c r="E135" s="185"/>
      <c r="F135" s="185"/>
      <c r="G135" s="185"/>
      <c r="H135" s="181"/>
      <c r="I135" s="181"/>
      <c r="J135" s="176"/>
      <c r="L135" s="180"/>
      <c r="M135" s="179"/>
      <c r="N135" s="185"/>
      <c r="O135" s="185"/>
      <c r="P135" s="185"/>
      <c r="Q135" s="185"/>
      <c r="R135" s="179"/>
      <c r="S135" s="185"/>
      <c r="T135" s="185"/>
      <c r="U135" s="185"/>
      <c r="V135" s="185"/>
      <c r="W135" s="179"/>
      <c r="X135" s="178"/>
      <c r="Y135" s="185"/>
      <c r="Z135" s="177"/>
      <c r="AA135" s="176"/>
    </row>
    <row r="136" spans="1:29" x14ac:dyDescent="0.25">
      <c r="A136" s="403"/>
      <c r="B136" s="405"/>
      <c r="C136" s="417" t="s">
        <v>249</v>
      </c>
      <c r="D136" s="185"/>
      <c r="E136" s="185"/>
      <c r="F136" s="185"/>
      <c r="G136" s="185"/>
      <c r="H136" s="181"/>
      <c r="I136" s="181"/>
      <c r="J136" s="176"/>
      <c r="L136" s="180"/>
      <c r="M136" s="179"/>
      <c r="N136" s="185"/>
      <c r="O136" s="185"/>
      <c r="P136" s="185"/>
      <c r="Q136" s="185"/>
      <c r="R136" s="179"/>
      <c r="S136" s="185"/>
      <c r="T136" s="185"/>
      <c r="U136" s="185"/>
      <c r="V136" s="185"/>
      <c r="W136" s="179"/>
      <c r="X136" s="178"/>
      <c r="Y136" s="185"/>
      <c r="Z136" s="177"/>
      <c r="AA136" s="176"/>
    </row>
    <row r="137" spans="1:29" x14ac:dyDescent="0.25">
      <c r="A137" s="403"/>
      <c r="B137" s="405"/>
      <c r="C137" s="418"/>
      <c r="D137" s="185"/>
      <c r="E137" s="185"/>
      <c r="F137" s="185"/>
      <c r="G137" s="185"/>
      <c r="H137" s="181"/>
      <c r="I137" s="181"/>
      <c r="J137" s="176"/>
      <c r="L137" s="180"/>
      <c r="M137" s="179"/>
      <c r="N137" s="185"/>
      <c r="O137" s="185"/>
      <c r="P137" s="185"/>
      <c r="Q137" s="185"/>
      <c r="R137" s="179"/>
      <c r="S137" s="185"/>
      <c r="T137" s="185"/>
      <c r="U137" s="185"/>
      <c r="V137" s="185"/>
      <c r="W137" s="179"/>
      <c r="X137" s="178"/>
      <c r="Y137" s="185"/>
      <c r="Z137" s="177"/>
      <c r="AA137" s="176"/>
    </row>
    <row r="138" spans="1:29" x14ac:dyDescent="0.25">
      <c r="A138" s="403"/>
      <c r="B138" s="405"/>
      <c r="C138" s="418"/>
      <c r="D138" s="185"/>
      <c r="E138" s="185"/>
      <c r="F138" s="185"/>
      <c r="G138" s="185"/>
      <c r="H138" s="181"/>
      <c r="I138" s="181"/>
      <c r="J138" s="176"/>
      <c r="L138" s="180"/>
      <c r="M138" s="179"/>
      <c r="N138" s="185"/>
      <c r="O138" s="185"/>
      <c r="P138" s="185"/>
      <c r="Q138" s="185"/>
      <c r="R138" s="179"/>
      <c r="S138" s="185"/>
      <c r="T138" s="185"/>
      <c r="U138" s="185"/>
      <c r="V138" s="185"/>
      <c r="W138" s="179"/>
      <c r="X138" s="178"/>
      <c r="Y138" s="185"/>
      <c r="Z138" s="177"/>
      <c r="AA138" s="176"/>
    </row>
    <row r="139" spans="1:29" x14ac:dyDescent="0.25">
      <c r="A139" s="403"/>
      <c r="B139" s="405"/>
      <c r="C139" s="418"/>
      <c r="D139" s="185"/>
      <c r="E139" s="185"/>
      <c r="F139" s="185"/>
      <c r="G139" s="185"/>
      <c r="H139" s="181"/>
      <c r="I139" s="181"/>
      <c r="J139" s="176"/>
      <c r="L139" s="180"/>
      <c r="M139" s="179"/>
      <c r="N139" s="185"/>
      <c r="O139" s="185"/>
      <c r="P139" s="185"/>
      <c r="Q139" s="185"/>
      <c r="R139" s="179"/>
      <c r="S139" s="185"/>
      <c r="T139" s="185"/>
      <c r="U139" s="185"/>
      <c r="V139" s="185"/>
      <c r="W139" s="179"/>
      <c r="X139" s="178"/>
      <c r="Y139" s="185"/>
      <c r="Z139" s="177"/>
      <c r="AA139" s="176"/>
    </row>
    <row r="140" spans="1:29" x14ac:dyDescent="0.25">
      <c r="A140" s="403"/>
      <c r="B140" s="405"/>
      <c r="C140" s="418"/>
      <c r="D140" s="185"/>
      <c r="E140" s="185"/>
      <c r="F140" s="185"/>
      <c r="G140" s="185"/>
      <c r="H140" s="181"/>
      <c r="I140" s="181"/>
      <c r="J140" s="176"/>
      <c r="L140" s="180"/>
      <c r="M140" s="179"/>
      <c r="N140" s="185"/>
      <c r="O140" s="185"/>
      <c r="P140" s="185"/>
      <c r="Q140" s="185"/>
      <c r="R140" s="179"/>
      <c r="S140" s="185"/>
      <c r="T140" s="185"/>
      <c r="U140" s="185"/>
      <c r="V140" s="185"/>
      <c r="W140" s="179"/>
      <c r="X140" s="178"/>
      <c r="Y140" s="185"/>
      <c r="Z140" s="177"/>
      <c r="AA140" s="176"/>
    </row>
    <row r="141" spans="1:29" x14ac:dyDescent="0.25">
      <c r="A141" s="403"/>
      <c r="B141" s="405"/>
      <c r="C141" s="419"/>
      <c r="D141" s="185"/>
      <c r="E141" s="185"/>
      <c r="F141" s="185"/>
      <c r="G141" s="185"/>
      <c r="H141" s="181"/>
      <c r="I141" s="181"/>
      <c r="J141" s="176"/>
      <c r="L141" s="180"/>
      <c r="M141" s="179"/>
      <c r="N141" s="185"/>
      <c r="O141" s="185"/>
      <c r="P141" s="185"/>
      <c r="Q141" s="185"/>
      <c r="R141" s="179"/>
      <c r="S141" s="185"/>
      <c r="T141" s="185"/>
      <c r="U141" s="185"/>
      <c r="V141" s="185"/>
      <c r="W141" s="179"/>
      <c r="X141" s="178"/>
      <c r="Y141" s="185"/>
      <c r="Z141" s="177"/>
      <c r="AA141" s="176"/>
    </row>
    <row r="142" spans="1:29" ht="30" x14ac:dyDescent="0.25">
      <c r="A142" s="407">
        <v>5</v>
      </c>
      <c r="B142" s="410" t="s">
        <v>1023</v>
      </c>
      <c r="C142" s="413" t="s">
        <v>1022</v>
      </c>
      <c r="D142" s="185" t="s">
        <v>1148</v>
      </c>
      <c r="E142" s="185"/>
      <c r="F142" s="185"/>
      <c r="G142" s="185"/>
      <c r="H142" s="187">
        <f>H143+H145+H148</f>
        <v>116173101.3275812</v>
      </c>
      <c r="I142" s="187">
        <f>(I143*J143+I145*J145+I148*J148)/(J143+J145+J148)</f>
        <v>610.79780581113187</v>
      </c>
      <c r="J142" s="186">
        <v>190199</v>
      </c>
      <c r="L142" s="180"/>
      <c r="M142" s="179"/>
      <c r="N142" s="185"/>
      <c r="O142" s="185"/>
      <c r="P142" s="185"/>
      <c r="Q142" s="185"/>
      <c r="R142" s="179"/>
      <c r="S142" s="185"/>
      <c r="T142" s="185"/>
      <c r="U142" s="185"/>
      <c r="V142" s="185"/>
      <c r="W142" s="179"/>
      <c r="X142" s="178"/>
      <c r="Y142" s="185"/>
      <c r="Z142" s="177"/>
      <c r="AA142" s="176"/>
    </row>
    <row r="143" spans="1:29" x14ac:dyDescent="0.25">
      <c r="A143" s="408"/>
      <c r="B143" s="411"/>
      <c r="C143" s="414"/>
      <c r="D143" s="402" t="s">
        <v>1151</v>
      </c>
      <c r="E143" s="185" t="s">
        <v>1021</v>
      </c>
      <c r="F143" s="185"/>
      <c r="G143" s="185" t="s">
        <v>929</v>
      </c>
      <c r="H143" s="187">
        <f>I143*J143</f>
        <v>34311623.918471202</v>
      </c>
      <c r="I143" s="187">
        <f>X143*Z143+Y143</f>
        <v>300.6653048</v>
      </c>
      <c r="J143" s="194">
        <v>114119</v>
      </c>
      <c r="L143" s="180"/>
      <c r="M143" s="179"/>
      <c r="N143" s="185"/>
      <c r="O143" s="185"/>
      <c r="P143" s="185"/>
      <c r="Q143" s="185"/>
      <c r="R143" s="179"/>
      <c r="S143" s="185"/>
      <c r="T143" s="185"/>
      <c r="U143" s="185" t="s">
        <v>1020</v>
      </c>
      <c r="V143" s="185">
        <v>3.5</v>
      </c>
      <c r="W143" s="179">
        <f>1/6</f>
        <v>0.16666666666666666</v>
      </c>
      <c r="X143" s="178">
        <f>(L143*M143+L144*M144+S143*T143)*6</f>
        <v>969.22800000000007</v>
      </c>
      <c r="Y143" s="185">
        <f>(P143*Q143*R143+V143*W143)*6</f>
        <v>3.4999999999999996</v>
      </c>
      <c r="Z143" s="177">
        <v>0.30659999999999998</v>
      </c>
      <c r="AA143" s="192" t="s">
        <v>1019</v>
      </c>
      <c r="AC143" s="195" t="s">
        <v>1018</v>
      </c>
    </row>
    <row r="144" spans="1:29" x14ac:dyDescent="0.25">
      <c r="A144" s="408"/>
      <c r="B144" s="411"/>
      <c r="C144" s="414"/>
      <c r="D144" s="402"/>
      <c r="E144" s="252" t="s">
        <v>1149</v>
      </c>
      <c r="F144" s="185"/>
      <c r="G144" s="185" t="s">
        <v>1009</v>
      </c>
      <c r="H144" s="187"/>
      <c r="I144" s="187"/>
      <c r="J144" s="186"/>
      <c r="L144" s="180">
        <v>0.65400000000000003</v>
      </c>
      <c r="M144" s="179">
        <v>247</v>
      </c>
      <c r="N144" s="185"/>
      <c r="O144" s="185"/>
      <c r="P144" s="185"/>
      <c r="Q144" s="185"/>
      <c r="R144" s="179"/>
      <c r="S144" s="185"/>
      <c r="T144" s="185"/>
      <c r="U144" s="185"/>
      <c r="V144" s="185"/>
      <c r="W144" s="179"/>
      <c r="X144" s="178"/>
      <c r="Y144" s="185"/>
      <c r="Z144" s="177"/>
      <c r="AA144" s="176"/>
    </row>
    <row r="145" spans="1:27" ht="30" x14ac:dyDescent="0.25">
      <c r="A145" s="408"/>
      <c r="B145" s="411"/>
      <c r="C145" s="414"/>
      <c r="D145" s="402" t="s">
        <v>1152</v>
      </c>
      <c r="E145" s="185" t="s">
        <v>1017</v>
      </c>
      <c r="F145" s="185"/>
      <c r="G145" s="185" t="s">
        <v>929</v>
      </c>
      <c r="H145" s="187">
        <f>I145*J145</f>
        <v>17299148.725109998</v>
      </c>
      <c r="I145" s="187">
        <f>X145*Z145+Y145</f>
        <v>1819.0577999999998</v>
      </c>
      <c r="J145" s="194">
        <f>190199*0.05</f>
        <v>9509.9500000000007</v>
      </c>
      <c r="L145" s="180">
        <v>3</v>
      </c>
      <c r="M145" s="179">
        <f>1/6</f>
        <v>0.16666666666666666</v>
      </c>
      <c r="N145" s="185"/>
      <c r="O145" s="185"/>
      <c r="P145" s="185"/>
      <c r="Q145" s="185"/>
      <c r="R145" s="179"/>
      <c r="S145" s="185"/>
      <c r="T145" s="185"/>
      <c r="U145" s="185"/>
      <c r="V145" s="185">
        <f>Z145*0.5*8</f>
        <v>1.2263999999999999</v>
      </c>
      <c r="W145" s="179">
        <v>247</v>
      </c>
      <c r="X145" s="178">
        <f>(L145*M145+L146*M146+L147*M147)*6</f>
        <v>5</v>
      </c>
      <c r="Y145" s="185">
        <f>(P145*Q145*R145+V145*W145)*6</f>
        <v>1817.5247999999999</v>
      </c>
      <c r="Z145" s="177">
        <v>0.30659999999999998</v>
      </c>
      <c r="AA145" s="176" t="s">
        <v>1016</v>
      </c>
    </row>
    <row r="146" spans="1:27" x14ac:dyDescent="0.25">
      <c r="A146" s="408"/>
      <c r="B146" s="411"/>
      <c r="C146" s="414"/>
      <c r="D146" s="402"/>
      <c r="E146" s="185" t="s">
        <v>1015</v>
      </c>
      <c r="F146" s="185"/>
      <c r="G146" s="185" t="s">
        <v>929</v>
      </c>
      <c r="H146" s="187"/>
      <c r="I146" s="187"/>
      <c r="J146" s="186"/>
      <c r="L146" s="180">
        <v>2</v>
      </c>
      <c r="M146" s="179">
        <f>1/6</f>
        <v>0.16666666666666666</v>
      </c>
      <c r="N146" s="185"/>
      <c r="O146" s="185"/>
      <c r="P146" s="185"/>
      <c r="Q146" s="185"/>
      <c r="R146" s="179"/>
      <c r="S146" s="185"/>
      <c r="T146" s="185"/>
      <c r="U146" s="185"/>
      <c r="V146" s="185"/>
      <c r="W146" s="179"/>
      <c r="X146" s="178"/>
      <c r="Y146" s="185"/>
      <c r="Z146" s="177"/>
      <c r="AA146" s="176"/>
    </row>
    <row r="147" spans="1:27" x14ac:dyDescent="0.25">
      <c r="A147" s="408"/>
      <c r="B147" s="411"/>
      <c r="C147" s="414"/>
      <c r="D147" s="402"/>
      <c r="E147" s="252" t="s">
        <v>1150</v>
      </c>
      <c r="F147" s="185"/>
      <c r="G147" s="185" t="s">
        <v>1009</v>
      </c>
      <c r="H147" s="187"/>
      <c r="I147" s="187"/>
      <c r="J147" s="186"/>
      <c r="L147" s="180"/>
      <c r="M147" s="179"/>
      <c r="N147" s="185"/>
      <c r="O147" s="185"/>
      <c r="P147" s="185"/>
      <c r="Q147" s="185"/>
      <c r="R147" s="179"/>
      <c r="S147" s="185"/>
      <c r="T147" s="185"/>
      <c r="U147" s="185"/>
      <c r="V147" s="185"/>
      <c r="W147" s="179"/>
      <c r="X147" s="178"/>
      <c r="Y147" s="185"/>
      <c r="Z147" s="177"/>
      <c r="AA147" s="176"/>
    </row>
    <row r="148" spans="1:27" ht="90" x14ac:dyDescent="0.25">
      <c r="A148" s="408"/>
      <c r="B148" s="411"/>
      <c r="C148" s="414"/>
      <c r="D148" s="416" t="s">
        <v>1153</v>
      </c>
      <c r="E148" s="185" t="s">
        <v>1014</v>
      </c>
      <c r="F148" s="185"/>
      <c r="G148" s="185" t="s">
        <v>929</v>
      </c>
      <c r="H148" s="187">
        <f>I148*J148</f>
        <v>64562328.684000008</v>
      </c>
      <c r="I148" s="187">
        <f>X148*Z148+Y148</f>
        <v>969.84120000000007</v>
      </c>
      <c r="J148" s="194">
        <v>66570</v>
      </c>
      <c r="L148" s="180">
        <v>1</v>
      </c>
      <c r="M148" s="179">
        <f>1/6</f>
        <v>0.16666666666666666</v>
      </c>
      <c r="N148" s="185"/>
      <c r="O148" s="185"/>
      <c r="P148" s="185"/>
      <c r="Q148" s="185"/>
      <c r="R148" s="179"/>
      <c r="S148" s="185"/>
      <c r="T148" s="185"/>
      <c r="U148" s="185" t="s">
        <v>1013</v>
      </c>
      <c r="V148" s="185">
        <v>0.65400000000000003</v>
      </c>
      <c r="W148" s="179">
        <v>247</v>
      </c>
      <c r="X148" s="178">
        <f>(L148*M148+L149*M149+L150*M150)*6</f>
        <v>2</v>
      </c>
      <c r="Y148" s="185">
        <f>(P148*Q148*R148+V148*W148)*6</f>
        <v>969.22800000000007</v>
      </c>
      <c r="Z148" s="177">
        <v>0.30659999999999998</v>
      </c>
      <c r="AA148" s="176" t="s">
        <v>1012</v>
      </c>
    </row>
    <row r="149" spans="1:27" ht="30" x14ac:dyDescent="0.25">
      <c r="A149" s="408"/>
      <c r="B149" s="411"/>
      <c r="C149" s="414"/>
      <c r="D149" s="416"/>
      <c r="E149" s="185" t="s">
        <v>1011</v>
      </c>
      <c r="F149" s="185"/>
      <c r="G149" s="185" t="s">
        <v>929</v>
      </c>
      <c r="H149" s="187"/>
      <c r="I149" s="187"/>
      <c r="J149" s="186"/>
      <c r="L149" s="180">
        <v>1</v>
      </c>
      <c r="M149" s="179">
        <f>1/6</f>
        <v>0.16666666666666666</v>
      </c>
      <c r="N149" s="185"/>
      <c r="O149" s="185"/>
      <c r="P149" s="185"/>
      <c r="Q149" s="185"/>
      <c r="R149" s="179"/>
      <c r="S149" s="185"/>
      <c r="T149" s="185"/>
      <c r="U149" s="185"/>
      <c r="V149" s="185"/>
      <c r="W149" s="179"/>
      <c r="X149" s="178"/>
      <c r="Y149" s="185"/>
      <c r="Z149" s="177"/>
      <c r="AA149" s="176" t="s">
        <v>1010</v>
      </c>
    </row>
    <row r="150" spans="1:27" ht="45" x14ac:dyDescent="0.25">
      <c r="A150" s="409"/>
      <c r="B150" s="412"/>
      <c r="C150" s="415"/>
      <c r="D150" s="416"/>
      <c r="E150" s="252" t="s">
        <v>1150</v>
      </c>
      <c r="F150" s="185"/>
      <c r="G150" s="185" t="s">
        <v>1009</v>
      </c>
      <c r="H150" s="193"/>
      <c r="I150" s="187"/>
      <c r="J150" s="186"/>
      <c r="L150" s="180"/>
      <c r="M150" s="179"/>
      <c r="N150" s="185"/>
      <c r="O150" s="185"/>
      <c r="P150" s="185"/>
      <c r="Q150" s="185"/>
      <c r="R150" s="179"/>
      <c r="S150" s="185"/>
      <c r="T150" s="185"/>
      <c r="U150" s="185"/>
      <c r="V150" s="185"/>
      <c r="W150" s="179"/>
      <c r="X150" s="178"/>
      <c r="Y150" s="185"/>
      <c r="Z150" s="177"/>
      <c r="AA150" s="192" t="s">
        <v>1008</v>
      </c>
    </row>
    <row r="151" spans="1:27" ht="30" x14ac:dyDescent="0.25">
      <c r="A151" s="407">
        <v>6</v>
      </c>
      <c r="B151" s="410" t="s">
        <v>1007</v>
      </c>
      <c r="C151" s="413" t="s">
        <v>1006</v>
      </c>
      <c r="D151" s="421" t="s">
        <v>1005</v>
      </c>
      <c r="E151" s="185" t="s">
        <v>211</v>
      </c>
      <c r="F151" s="185"/>
      <c r="G151" s="185"/>
      <c r="H151" s="181"/>
      <c r="I151" s="181"/>
      <c r="J151" s="176"/>
      <c r="L151" s="180"/>
      <c r="M151" s="179"/>
      <c r="N151" s="185"/>
      <c r="O151" s="185"/>
      <c r="P151" s="185"/>
      <c r="Q151" s="185"/>
      <c r="R151" s="179"/>
      <c r="S151" s="185"/>
      <c r="T151" s="185"/>
      <c r="U151" s="185"/>
      <c r="V151" s="185"/>
      <c r="W151" s="179"/>
      <c r="X151" s="178"/>
      <c r="Y151" s="185"/>
      <c r="Z151" s="177"/>
      <c r="AA151" s="176"/>
    </row>
    <row r="152" spans="1:27" x14ac:dyDescent="0.25">
      <c r="A152" s="408"/>
      <c r="B152" s="411"/>
      <c r="C152" s="414"/>
      <c r="D152" s="422"/>
      <c r="E152" s="191" t="s">
        <v>212</v>
      </c>
      <c r="F152" s="185"/>
      <c r="G152" s="185"/>
      <c r="H152" s="181"/>
      <c r="I152" s="181"/>
      <c r="J152" s="176"/>
      <c r="L152" s="180"/>
      <c r="M152" s="179"/>
      <c r="N152" s="185"/>
      <c r="O152" s="185"/>
      <c r="P152" s="185"/>
      <c r="Q152" s="185"/>
      <c r="R152" s="179"/>
      <c r="S152" s="185"/>
      <c r="T152" s="185"/>
      <c r="U152" s="185"/>
      <c r="V152" s="185"/>
      <c r="W152" s="179"/>
      <c r="X152" s="178"/>
      <c r="Y152" s="185"/>
      <c r="Z152" s="177"/>
      <c r="AA152" s="176"/>
    </row>
    <row r="153" spans="1:27" ht="45" x14ac:dyDescent="0.25">
      <c r="A153" s="408"/>
      <c r="B153" s="411"/>
      <c r="C153" s="414"/>
      <c r="D153" s="422"/>
      <c r="E153" s="191" t="s">
        <v>213</v>
      </c>
      <c r="F153" s="185"/>
      <c r="G153" s="185"/>
      <c r="H153" s="181"/>
      <c r="I153" s="181"/>
      <c r="J153" s="176"/>
      <c r="L153" s="180"/>
      <c r="M153" s="179"/>
      <c r="N153" s="185"/>
      <c r="O153" s="185"/>
      <c r="P153" s="185"/>
      <c r="Q153" s="185"/>
      <c r="R153" s="179"/>
      <c r="S153" s="185"/>
      <c r="T153" s="185"/>
      <c r="U153" s="185"/>
      <c r="V153" s="185"/>
      <c r="W153" s="179"/>
      <c r="X153" s="178"/>
      <c r="Y153" s="185"/>
      <c r="Z153" s="177"/>
      <c r="AA153" s="176"/>
    </row>
    <row r="154" spans="1:27" ht="45" x14ac:dyDescent="0.25">
      <c r="A154" s="408"/>
      <c r="B154" s="411"/>
      <c r="C154" s="414"/>
      <c r="D154" s="422"/>
      <c r="E154" s="191" t="s">
        <v>214</v>
      </c>
      <c r="F154" s="185"/>
      <c r="G154" s="185"/>
      <c r="H154" s="181"/>
      <c r="I154" s="181"/>
      <c r="J154" s="176"/>
      <c r="L154" s="180"/>
      <c r="M154" s="179"/>
      <c r="N154" s="185"/>
      <c r="O154" s="185"/>
      <c r="P154" s="185"/>
      <c r="Q154" s="185"/>
      <c r="R154" s="179"/>
      <c r="S154" s="185"/>
      <c r="T154" s="185"/>
      <c r="U154" s="185"/>
      <c r="V154" s="185"/>
      <c r="W154" s="179"/>
      <c r="X154" s="178"/>
      <c r="Y154" s="185"/>
      <c r="Z154" s="177"/>
      <c r="AA154" s="176"/>
    </row>
    <row r="155" spans="1:27" x14ac:dyDescent="0.25">
      <c r="A155" s="408"/>
      <c r="B155" s="411"/>
      <c r="C155" s="414"/>
      <c r="D155" s="422"/>
      <c r="E155" s="191" t="s">
        <v>215</v>
      </c>
      <c r="F155" s="185"/>
      <c r="G155" s="185"/>
      <c r="H155" s="181"/>
      <c r="I155" s="181"/>
      <c r="J155" s="176"/>
      <c r="L155" s="180"/>
      <c r="M155" s="179"/>
      <c r="N155" s="185"/>
      <c r="O155" s="185"/>
      <c r="P155" s="185"/>
      <c r="Q155" s="185"/>
      <c r="R155" s="179"/>
      <c r="S155" s="185"/>
      <c r="T155" s="185"/>
      <c r="U155" s="185"/>
      <c r="V155" s="185"/>
      <c r="W155" s="179"/>
      <c r="X155" s="178"/>
      <c r="Y155" s="185"/>
      <c r="Z155" s="177"/>
      <c r="AA155" s="176"/>
    </row>
    <row r="156" spans="1:27" ht="30" x14ac:dyDescent="0.25">
      <c r="A156" s="408"/>
      <c r="B156" s="411"/>
      <c r="C156" s="414"/>
      <c r="D156" s="422"/>
      <c r="E156" s="191" t="s">
        <v>216</v>
      </c>
      <c r="F156" s="185"/>
      <c r="G156" s="185"/>
      <c r="H156" s="181"/>
      <c r="I156" s="181"/>
      <c r="J156" s="176"/>
      <c r="L156" s="180"/>
      <c r="M156" s="179"/>
      <c r="N156" s="185"/>
      <c r="O156" s="185"/>
      <c r="P156" s="185"/>
      <c r="Q156" s="185"/>
      <c r="R156" s="179"/>
      <c r="S156" s="185"/>
      <c r="T156" s="185"/>
      <c r="U156" s="185"/>
      <c r="V156" s="185"/>
      <c r="W156" s="179"/>
      <c r="X156" s="178"/>
      <c r="Y156" s="185"/>
      <c r="Z156" s="177"/>
      <c r="AA156" s="176"/>
    </row>
    <row r="157" spans="1:27" x14ac:dyDescent="0.25">
      <c r="A157" s="408"/>
      <c r="B157" s="411"/>
      <c r="C157" s="414"/>
      <c r="D157" s="422"/>
      <c r="E157" s="191" t="s">
        <v>217</v>
      </c>
      <c r="F157" s="185"/>
      <c r="G157" s="185"/>
      <c r="H157" s="181"/>
      <c r="I157" s="181"/>
      <c r="J157" s="176"/>
      <c r="L157" s="180"/>
      <c r="M157" s="179"/>
      <c r="N157" s="185"/>
      <c r="O157" s="185"/>
      <c r="P157" s="185"/>
      <c r="Q157" s="185"/>
      <c r="R157" s="179"/>
      <c r="S157" s="185"/>
      <c r="T157" s="185"/>
      <c r="U157" s="185"/>
      <c r="V157" s="185"/>
      <c r="W157" s="179"/>
      <c r="X157" s="178"/>
      <c r="Y157" s="185"/>
      <c r="Z157" s="177"/>
      <c r="AA157" s="176"/>
    </row>
    <row r="158" spans="1:27" x14ac:dyDescent="0.25">
      <c r="A158" s="408"/>
      <c r="B158" s="411"/>
      <c r="C158" s="414"/>
      <c r="D158" s="423"/>
      <c r="E158" s="191" t="s">
        <v>218</v>
      </c>
      <c r="F158" s="185"/>
      <c r="G158" s="185"/>
      <c r="H158" s="181"/>
      <c r="I158" s="181"/>
      <c r="J158" s="176"/>
      <c r="L158" s="180"/>
      <c r="M158" s="179"/>
      <c r="N158" s="185"/>
      <c r="O158" s="185"/>
      <c r="P158" s="185"/>
      <c r="Q158" s="185"/>
      <c r="R158" s="179"/>
      <c r="S158" s="185"/>
      <c r="T158" s="185"/>
      <c r="U158" s="185"/>
      <c r="V158" s="185"/>
      <c r="W158" s="179"/>
      <c r="X158" s="178"/>
      <c r="Y158" s="185"/>
      <c r="Z158" s="177"/>
      <c r="AA158" s="176"/>
    </row>
    <row r="159" spans="1:27" ht="45" x14ac:dyDescent="0.25">
      <c r="A159" s="408"/>
      <c r="B159" s="411"/>
      <c r="C159" s="414"/>
      <c r="D159" s="413" t="s">
        <v>1004</v>
      </c>
      <c r="E159" s="185" t="s">
        <v>220</v>
      </c>
      <c r="F159" s="185"/>
      <c r="G159" s="185"/>
      <c r="H159" s="181"/>
      <c r="I159" s="181"/>
      <c r="J159" s="176"/>
      <c r="L159" s="180"/>
      <c r="M159" s="179"/>
      <c r="N159" s="185"/>
      <c r="O159" s="185"/>
      <c r="P159" s="185"/>
      <c r="Q159" s="185"/>
      <c r="R159" s="179"/>
      <c r="S159" s="185"/>
      <c r="T159" s="185"/>
      <c r="U159" s="185"/>
      <c r="V159" s="185"/>
      <c r="W159" s="179"/>
      <c r="X159" s="178"/>
      <c r="Y159" s="185"/>
      <c r="Z159" s="177"/>
      <c r="AA159" s="176"/>
    </row>
    <row r="160" spans="1:27" x14ac:dyDescent="0.25">
      <c r="A160" s="408"/>
      <c r="B160" s="411"/>
      <c r="C160" s="414"/>
      <c r="D160" s="414"/>
      <c r="E160" s="191" t="s">
        <v>212</v>
      </c>
      <c r="F160" s="185"/>
      <c r="G160" s="185"/>
      <c r="H160" s="181"/>
      <c r="I160" s="181"/>
      <c r="J160" s="176"/>
      <c r="L160" s="180"/>
      <c r="M160" s="179"/>
      <c r="N160" s="185"/>
      <c r="O160" s="185"/>
      <c r="P160" s="185"/>
      <c r="Q160" s="185"/>
      <c r="R160" s="179"/>
      <c r="S160" s="185"/>
      <c r="T160" s="185"/>
      <c r="U160" s="185"/>
      <c r="V160" s="185"/>
      <c r="W160" s="179"/>
      <c r="X160" s="178"/>
      <c r="Y160" s="185"/>
      <c r="Z160" s="177"/>
      <c r="AA160" s="176"/>
    </row>
    <row r="161" spans="1:27" ht="45" x14ac:dyDescent="0.25">
      <c r="A161" s="408"/>
      <c r="B161" s="411"/>
      <c r="C161" s="414"/>
      <c r="D161" s="414"/>
      <c r="E161" s="191" t="s">
        <v>213</v>
      </c>
      <c r="F161" s="185"/>
      <c r="G161" s="185"/>
      <c r="H161" s="181"/>
      <c r="I161" s="181"/>
      <c r="J161" s="176"/>
      <c r="L161" s="180"/>
      <c r="M161" s="179"/>
      <c r="N161" s="185"/>
      <c r="O161" s="185"/>
      <c r="P161" s="185"/>
      <c r="Q161" s="185"/>
      <c r="R161" s="179"/>
      <c r="S161" s="185"/>
      <c r="T161" s="185"/>
      <c r="U161" s="185"/>
      <c r="V161" s="185"/>
      <c r="W161" s="179"/>
      <c r="X161" s="178"/>
      <c r="Y161" s="185"/>
      <c r="Z161" s="177"/>
      <c r="AA161" s="176"/>
    </row>
    <row r="162" spans="1:27" ht="45" x14ac:dyDescent="0.25">
      <c r="A162" s="408"/>
      <c r="B162" s="411"/>
      <c r="C162" s="414"/>
      <c r="D162" s="414"/>
      <c r="E162" s="191" t="s">
        <v>214</v>
      </c>
      <c r="F162" s="185"/>
      <c r="G162" s="185"/>
      <c r="H162" s="181"/>
      <c r="I162" s="181"/>
      <c r="J162" s="176"/>
      <c r="L162" s="180"/>
      <c r="M162" s="179"/>
      <c r="N162" s="185"/>
      <c r="O162" s="185"/>
      <c r="P162" s="185"/>
      <c r="Q162" s="185"/>
      <c r="R162" s="179"/>
      <c r="S162" s="185"/>
      <c r="T162" s="185"/>
      <c r="U162" s="185"/>
      <c r="V162" s="185"/>
      <c r="W162" s="179"/>
      <c r="X162" s="178"/>
      <c r="Y162" s="185"/>
      <c r="Z162" s="177"/>
      <c r="AA162" s="176"/>
    </row>
    <row r="163" spans="1:27" x14ac:dyDescent="0.25">
      <c r="A163" s="408"/>
      <c r="B163" s="411"/>
      <c r="C163" s="414"/>
      <c r="D163" s="414"/>
      <c r="E163" s="191" t="s">
        <v>221</v>
      </c>
      <c r="F163" s="185"/>
      <c r="G163" s="185"/>
      <c r="H163" s="181"/>
      <c r="I163" s="181"/>
      <c r="J163" s="176"/>
      <c r="L163" s="180"/>
      <c r="M163" s="179"/>
      <c r="N163" s="185"/>
      <c r="O163" s="185"/>
      <c r="P163" s="185"/>
      <c r="Q163" s="185"/>
      <c r="R163" s="179"/>
      <c r="S163" s="185"/>
      <c r="T163" s="185"/>
      <c r="U163" s="185"/>
      <c r="V163" s="185"/>
      <c r="W163" s="179"/>
      <c r="X163" s="178"/>
      <c r="Y163" s="185"/>
      <c r="Z163" s="177"/>
      <c r="AA163" s="176"/>
    </row>
    <row r="164" spans="1:27" x14ac:dyDescent="0.25">
      <c r="A164" s="408"/>
      <c r="B164" s="411"/>
      <c r="C164" s="414"/>
      <c r="D164" s="414"/>
      <c r="E164" s="191" t="s">
        <v>222</v>
      </c>
      <c r="F164" s="185"/>
      <c r="G164" s="185"/>
      <c r="H164" s="181"/>
      <c r="I164" s="181"/>
      <c r="J164" s="176"/>
      <c r="L164" s="180"/>
      <c r="M164" s="179"/>
      <c r="N164" s="185"/>
      <c r="O164" s="185"/>
      <c r="P164" s="185"/>
      <c r="Q164" s="185"/>
      <c r="R164" s="179"/>
      <c r="S164" s="185"/>
      <c r="T164" s="185"/>
      <c r="U164" s="185"/>
      <c r="V164" s="185"/>
      <c r="W164" s="179"/>
      <c r="X164" s="178"/>
      <c r="Y164" s="185"/>
      <c r="Z164" s="177"/>
      <c r="AA164" s="176"/>
    </row>
    <row r="165" spans="1:27" ht="30" x14ac:dyDescent="0.25">
      <c r="A165" s="409"/>
      <c r="B165" s="412"/>
      <c r="C165" s="415"/>
      <c r="D165" s="415"/>
      <c r="E165" s="191" t="s">
        <v>223</v>
      </c>
      <c r="F165" s="185"/>
      <c r="G165" s="185"/>
      <c r="H165" s="181"/>
      <c r="I165" s="181"/>
      <c r="J165" s="176"/>
      <c r="L165" s="180"/>
      <c r="M165" s="179"/>
      <c r="N165" s="185"/>
      <c r="O165" s="185"/>
      <c r="P165" s="185"/>
      <c r="Q165" s="185"/>
      <c r="R165" s="179"/>
      <c r="S165" s="185"/>
      <c r="T165" s="185"/>
      <c r="U165" s="185"/>
      <c r="V165" s="185"/>
      <c r="W165" s="179"/>
      <c r="X165" s="178"/>
      <c r="Y165" s="185"/>
      <c r="Z165" s="177"/>
      <c r="AA165" s="176"/>
    </row>
    <row r="166" spans="1:27" ht="30" x14ac:dyDescent="0.25">
      <c r="A166" s="407">
        <v>7</v>
      </c>
      <c r="B166" s="410" t="s">
        <v>1003</v>
      </c>
      <c r="C166" s="417" t="s">
        <v>1002</v>
      </c>
      <c r="D166" s="413" t="s">
        <v>1001</v>
      </c>
      <c r="E166" s="185" t="s">
        <v>1000</v>
      </c>
      <c r="F166" s="185" t="s">
        <v>289</v>
      </c>
      <c r="G166" s="185"/>
      <c r="H166" s="187">
        <f>I166*J166</f>
        <v>1393344.6182799998</v>
      </c>
      <c r="I166" s="190">
        <f>I167*0.85+I168*0.15</f>
        <v>7.3257199999999996</v>
      </c>
      <c r="J166" s="186">
        <v>190199</v>
      </c>
      <c r="L166" s="180">
        <v>2</v>
      </c>
      <c r="M166" s="179">
        <f>1/6</f>
        <v>0.16666666666666666</v>
      </c>
      <c r="N166" s="185" t="s">
        <v>999</v>
      </c>
      <c r="O166" s="185" t="s">
        <v>998</v>
      </c>
      <c r="P166" s="185">
        <v>1.4123000000000001</v>
      </c>
      <c r="Q166" s="185">
        <v>4</v>
      </c>
      <c r="R166" s="179">
        <f>1/6</f>
        <v>0.16666666666666666</v>
      </c>
      <c r="S166" s="185"/>
      <c r="T166" s="185"/>
      <c r="U166" s="185"/>
      <c r="V166" s="185"/>
      <c r="W166" s="179"/>
      <c r="X166" s="178">
        <f>(L166*M166+L167*M167+L168*M168+L169*M169+L170*M170*Q166+S166*T166)*6</f>
        <v>6.9999999999999991</v>
      </c>
      <c r="Y166" s="177">
        <f>(P166*Q166*R166+V166*W166)*6</f>
        <v>5.6492000000000004</v>
      </c>
      <c r="Z166" s="177">
        <v>0.30659999999999998</v>
      </c>
      <c r="AA166" s="176"/>
    </row>
    <row r="167" spans="1:27" ht="30" x14ac:dyDescent="0.25">
      <c r="A167" s="408"/>
      <c r="B167" s="411"/>
      <c r="C167" s="418"/>
      <c r="D167" s="414"/>
      <c r="E167" s="185" t="s">
        <v>997</v>
      </c>
      <c r="F167" s="185"/>
      <c r="G167" s="185"/>
      <c r="H167" s="187">
        <f>I167*J167</f>
        <v>1260274.5226</v>
      </c>
      <c r="I167" s="190">
        <f>X166*Z166+Y166</f>
        <v>7.7953999999999999</v>
      </c>
      <c r="J167" s="186">
        <v>161669</v>
      </c>
      <c r="L167" s="180">
        <v>1</v>
      </c>
      <c r="M167" s="179">
        <f>1/6</f>
        <v>0.16666666666666666</v>
      </c>
      <c r="N167" s="185"/>
      <c r="O167" s="185" t="s">
        <v>996</v>
      </c>
      <c r="P167" s="185">
        <v>1.4123000000000001</v>
      </c>
      <c r="Q167" s="185">
        <v>2</v>
      </c>
      <c r="R167" s="179">
        <f>1/6</f>
        <v>0.16666666666666666</v>
      </c>
      <c r="S167" s="185"/>
      <c r="T167" s="185"/>
      <c r="U167" s="185"/>
      <c r="V167" s="185"/>
      <c r="W167" s="179"/>
      <c r="X167" s="178">
        <f>(L166*M166+L167*M167+L168*M168+L169*M169+L170*M170*Q167+S167*T167)*6</f>
        <v>5.9999999999999991</v>
      </c>
      <c r="Y167" s="177">
        <f>(P167*Q167*R167+V167*W167)*6</f>
        <v>2.8246000000000002</v>
      </c>
      <c r="Z167" s="177"/>
      <c r="AA167" s="176"/>
    </row>
    <row r="168" spans="1:27" x14ac:dyDescent="0.25">
      <c r="A168" s="408"/>
      <c r="B168" s="411"/>
      <c r="C168" s="418"/>
      <c r="D168" s="414"/>
      <c r="E168" s="185" t="s">
        <v>995</v>
      </c>
      <c r="F168" s="185"/>
      <c r="G168" s="185"/>
      <c r="H168" s="187">
        <f>I168*J168</f>
        <v>133069.62599999999</v>
      </c>
      <c r="I168" s="190">
        <f>X167*Z166+Y167</f>
        <v>4.6642000000000001</v>
      </c>
      <c r="J168" s="186">
        <v>28530</v>
      </c>
      <c r="L168" s="180"/>
      <c r="M168" s="179"/>
      <c r="N168" s="185"/>
      <c r="O168" s="185"/>
      <c r="P168" s="185"/>
      <c r="Q168" s="185"/>
      <c r="R168" s="179"/>
      <c r="S168" s="185"/>
      <c r="T168" s="185"/>
      <c r="U168" s="185"/>
      <c r="V168" s="185"/>
      <c r="W168" s="179"/>
      <c r="X168" s="178"/>
      <c r="Y168" s="185"/>
      <c r="Z168" s="177"/>
      <c r="AA168" s="176"/>
    </row>
    <row r="169" spans="1:27" x14ac:dyDescent="0.25">
      <c r="A169" s="408"/>
      <c r="B169" s="411"/>
      <c r="C169" s="418"/>
      <c r="D169" s="414"/>
      <c r="E169" s="185" t="s">
        <v>994</v>
      </c>
      <c r="F169" s="185"/>
      <c r="G169" s="185"/>
      <c r="H169" s="181"/>
      <c r="I169" s="181"/>
      <c r="J169" s="176"/>
      <c r="L169" s="180">
        <v>2</v>
      </c>
      <c r="M169" s="179">
        <f>1/6</f>
        <v>0.16666666666666666</v>
      </c>
      <c r="N169" s="185"/>
      <c r="O169" s="185"/>
      <c r="P169" s="185"/>
      <c r="Q169" s="185"/>
      <c r="R169" s="179"/>
      <c r="S169" s="185"/>
      <c r="T169" s="185"/>
      <c r="U169" s="185"/>
      <c r="V169" s="185"/>
      <c r="W169" s="179"/>
      <c r="X169" s="178"/>
      <c r="Y169" s="185"/>
      <c r="Z169" s="177"/>
      <c r="AA169" s="176"/>
    </row>
    <row r="170" spans="1:27" x14ac:dyDescent="0.25">
      <c r="A170" s="408"/>
      <c r="B170" s="411"/>
      <c r="C170" s="418"/>
      <c r="D170" s="415"/>
      <c r="E170" s="185" t="s">
        <v>993</v>
      </c>
      <c r="F170" s="185"/>
      <c r="G170" s="185"/>
      <c r="H170" s="181"/>
      <c r="I170" s="181"/>
      <c r="J170" s="176"/>
      <c r="L170" s="180">
        <v>0.5</v>
      </c>
      <c r="M170" s="179">
        <f>1/6</f>
        <v>0.16666666666666666</v>
      </c>
      <c r="N170" s="185"/>
      <c r="O170" s="185"/>
      <c r="P170" s="185"/>
      <c r="Q170" s="185"/>
      <c r="R170" s="179"/>
      <c r="S170" s="185"/>
      <c r="T170" s="185"/>
      <c r="U170" s="185"/>
      <c r="V170" s="185"/>
      <c r="W170" s="179"/>
      <c r="X170" s="178"/>
      <c r="Y170" s="185"/>
      <c r="Z170" s="177"/>
      <c r="AA170" s="176"/>
    </row>
    <row r="171" spans="1:27" ht="30" x14ac:dyDescent="0.25">
      <c r="A171" s="408"/>
      <c r="B171" s="411"/>
      <c r="C171" s="418"/>
      <c r="D171" s="406" t="s">
        <v>992</v>
      </c>
      <c r="E171" s="191" t="s">
        <v>991</v>
      </c>
      <c r="F171" s="185"/>
      <c r="G171" s="185" t="s">
        <v>990</v>
      </c>
      <c r="H171" s="187">
        <f>I171*J171</f>
        <v>0</v>
      </c>
      <c r="I171" s="187">
        <f>X171*Z171+Y171</f>
        <v>52.989480000000015</v>
      </c>
      <c r="J171" s="176"/>
      <c r="L171" s="180">
        <v>2</v>
      </c>
      <c r="M171" s="179">
        <f>1/6</f>
        <v>0.16666666666666666</v>
      </c>
      <c r="N171" s="402" t="s">
        <v>268</v>
      </c>
      <c r="O171" s="183" t="s">
        <v>984</v>
      </c>
      <c r="P171" s="185">
        <v>1</v>
      </c>
      <c r="Q171" s="185">
        <v>1</v>
      </c>
      <c r="R171" s="179">
        <f t="shared" ref="R171:R190" si="0">1/10</f>
        <v>0.1</v>
      </c>
      <c r="S171" s="185">
        <f t="shared" ref="S171:S190" si="1">1/20</f>
        <v>0.05</v>
      </c>
      <c r="T171" s="185">
        <v>4</v>
      </c>
      <c r="U171" s="185"/>
      <c r="V171" s="185"/>
      <c r="W171" s="179"/>
      <c r="X171" s="178">
        <f>(L171*M171+L172*M172+L173*M173+L174*M174+L175*M175+S171*T171+S172*T172+S173*T173+S174*T174+S175*T175+S176*T176+S177*T177+S178*T178+S179*T1908+S180*T180+S181*T181+S182*T182+S183*T183+S184*T184+S185*T185+S186*T186+S187*T187+S188*T188+S189*T189+S190*T190)*6</f>
        <v>37.800000000000018</v>
      </c>
      <c r="Y171" s="185">
        <f>(P171*Q171*R171+P172*Q172*R172+P173*Q173*R173+P174*Q174*R174+P175*Q175*R175+P176*Q176*R176+P177*Q177*R177+P178*Q178*R178+P179*Q179*R179+P180*Q180*R180+P181*Q181*R171+P182*Q182*R182+P183*Q183*R183+P184*Q184*R184+P185*Q185*R185+P186*Q186*R186+P187*Q187*R187+P188*Q188*R188+P189*Q189*R189+P190*Q190*R190+V171*W171)*6</f>
        <v>41.400000000000006</v>
      </c>
      <c r="Z171" s="177">
        <v>0.30659999999999998</v>
      </c>
      <c r="AA171" s="176"/>
    </row>
    <row r="172" spans="1:27" x14ac:dyDescent="0.25">
      <c r="A172" s="408"/>
      <c r="B172" s="411"/>
      <c r="C172" s="418"/>
      <c r="D172" s="420"/>
      <c r="E172" s="235" t="s">
        <v>970</v>
      </c>
      <c r="F172" s="185"/>
      <c r="G172" s="185"/>
      <c r="H172" s="181"/>
      <c r="I172" s="181"/>
      <c r="J172" s="176"/>
      <c r="L172" s="180">
        <v>1</v>
      </c>
      <c r="M172" s="179">
        <f>1/6</f>
        <v>0.16666666666666666</v>
      </c>
      <c r="N172" s="428"/>
      <c r="O172" s="183" t="s">
        <v>989</v>
      </c>
      <c r="P172" s="185">
        <v>0.4</v>
      </c>
      <c r="Q172" s="185">
        <v>1</v>
      </c>
      <c r="R172" s="179">
        <f t="shared" si="0"/>
        <v>0.1</v>
      </c>
      <c r="S172" s="185">
        <f t="shared" si="1"/>
        <v>0.05</v>
      </c>
      <c r="T172" s="185">
        <v>4</v>
      </c>
      <c r="U172" s="185"/>
      <c r="V172" s="185"/>
      <c r="W172" s="179"/>
      <c r="X172" s="178"/>
      <c r="Y172" s="185"/>
      <c r="Z172" s="177"/>
      <c r="AA172" s="176"/>
    </row>
    <row r="173" spans="1:27" x14ac:dyDescent="0.25">
      <c r="A173" s="408"/>
      <c r="B173" s="411"/>
      <c r="C173" s="418"/>
      <c r="D173" s="420"/>
      <c r="E173" s="235" t="s">
        <v>988</v>
      </c>
      <c r="F173" s="185"/>
      <c r="G173" s="185"/>
      <c r="H173" s="181"/>
      <c r="I173" s="181"/>
      <c r="J173" s="176"/>
      <c r="L173" s="180">
        <v>12</v>
      </c>
      <c r="M173" s="179">
        <f>1/6</f>
        <v>0.16666666666666666</v>
      </c>
      <c r="N173" s="428"/>
      <c r="O173" s="183" t="s">
        <v>987</v>
      </c>
      <c r="P173" s="185">
        <v>0.5</v>
      </c>
      <c r="Q173" s="185">
        <v>2</v>
      </c>
      <c r="R173" s="179">
        <f t="shared" si="0"/>
        <v>0.1</v>
      </c>
      <c r="S173" s="185">
        <f t="shared" si="1"/>
        <v>0.05</v>
      </c>
      <c r="T173" s="185">
        <v>4</v>
      </c>
      <c r="U173" s="185"/>
      <c r="V173" s="185"/>
      <c r="W173" s="179"/>
      <c r="X173" s="178"/>
      <c r="Y173" s="185"/>
      <c r="Z173" s="177"/>
      <c r="AA173" s="176"/>
    </row>
    <row r="174" spans="1:27" ht="30" x14ac:dyDescent="0.25">
      <c r="A174" s="408"/>
      <c r="B174" s="411"/>
      <c r="C174" s="418"/>
      <c r="D174" s="420"/>
      <c r="E174" s="185"/>
      <c r="F174" s="185"/>
      <c r="G174" s="185"/>
      <c r="H174" s="181"/>
      <c r="I174" s="181"/>
      <c r="J174" s="176"/>
      <c r="L174" s="180"/>
      <c r="M174" s="179"/>
      <c r="N174" s="428"/>
      <c r="O174" s="183" t="s">
        <v>978</v>
      </c>
      <c r="P174" s="185">
        <v>1</v>
      </c>
      <c r="Q174" s="185">
        <v>1</v>
      </c>
      <c r="R174" s="179">
        <f t="shared" si="0"/>
        <v>0.1</v>
      </c>
      <c r="S174" s="185">
        <f t="shared" si="1"/>
        <v>0.05</v>
      </c>
      <c r="T174" s="185">
        <v>4</v>
      </c>
      <c r="U174" s="185"/>
      <c r="V174" s="185"/>
      <c r="W174" s="179"/>
      <c r="X174" s="178"/>
      <c r="Y174" s="185"/>
      <c r="Z174" s="177"/>
      <c r="AA174" s="176"/>
    </row>
    <row r="175" spans="1:27" x14ac:dyDescent="0.25">
      <c r="A175" s="408"/>
      <c r="B175" s="411"/>
      <c r="C175" s="418"/>
      <c r="D175" s="420"/>
      <c r="E175" s="185"/>
      <c r="F175" s="185"/>
      <c r="G175" s="185"/>
      <c r="H175" s="181"/>
      <c r="I175" s="181"/>
      <c r="J175" s="176"/>
      <c r="L175" s="180"/>
      <c r="M175" s="179"/>
      <c r="N175" s="428"/>
      <c r="O175" s="183" t="s">
        <v>982</v>
      </c>
      <c r="P175" s="185">
        <v>0.7</v>
      </c>
      <c r="Q175" s="185">
        <v>1</v>
      </c>
      <c r="R175" s="179">
        <f t="shared" si="0"/>
        <v>0.1</v>
      </c>
      <c r="S175" s="185">
        <f t="shared" si="1"/>
        <v>0.05</v>
      </c>
      <c r="T175" s="185">
        <v>4</v>
      </c>
      <c r="U175" s="185"/>
      <c r="V175" s="185"/>
      <c r="W175" s="179"/>
      <c r="X175" s="178"/>
      <c r="Y175" s="185"/>
      <c r="Z175" s="177"/>
      <c r="AA175" s="176"/>
    </row>
    <row r="176" spans="1:27" x14ac:dyDescent="0.25">
      <c r="A176" s="408"/>
      <c r="B176" s="411"/>
      <c r="C176" s="418"/>
      <c r="D176" s="420"/>
      <c r="E176" s="185"/>
      <c r="F176" s="185"/>
      <c r="G176" s="185"/>
      <c r="H176" s="181"/>
      <c r="I176" s="181"/>
      <c r="J176" s="176"/>
      <c r="L176" s="180"/>
      <c r="M176" s="179"/>
      <c r="N176" s="428"/>
      <c r="O176" s="183" t="s">
        <v>977</v>
      </c>
      <c r="P176" s="185">
        <v>0.6</v>
      </c>
      <c r="Q176" s="185">
        <v>1</v>
      </c>
      <c r="R176" s="179">
        <f t="shared" si="0"/>
        <v>0.1</v>
      </c>
      <c r="S176" s="185">
        <f t="shared" si="1"/>
        <v>0.05</v>
      </c>
      <c r="T176" s="185">
        <v>4</v>
      </c>
      <c r="U176" s="185"/>
      <c r="V176" s="185"/>
      <c r="W176" s="179"/>
      <c r="X176" s="178"/>
      <c r="Y176" s="185"/>
      <c r="Z176" s="177"/>
      <c r="AA176" s="176"/>
    </row>
    <row r="177" spans="1:27" ht="30" x14ac:dyDescent="0.25">
      <c r="A177" s="408"/>
      <c r="B177" s="411"/>
      <c r="C177" s="418"/>
      <c r="D177" s="420"/>
      <c r="E177" s="185"/>
      <c r="F177" s="185"/>
      <c r="G177" s="185"/>
      <c r="H177" s="181"/>
      <c r="I177" s="181"/>
      <c r="J177" s="176"/>
      <c r="L177" s="180"/>
      <c r="M177" s="179"/>
      <c r="N177" s="428"/>
      <c r="O177" s="183" t="s">
        <v>986</v>
      </c>
      <c r="P177" s="185">
        <v>6</v>
      </c>
      <c r="Q177" s="185">
        <v>1</v>
      </c>
      <c r="R177" s="179">
        <f t="shared" si="0"/>
        <v>0.1</v>
      </c>
      <c r="S177" s="185">
        <f t="shared" si="1"/>
        <v>0.05</v>
      </c>
      <c r="T177" s="185">
        <v>4</v>
      </c>
      <c r="U177" s="185"/>
      <c r="V177" s="185"/>
      <c r="W177" s="179"/>
      <c r="X177" s="178"/>
      <c r="Y177" s="185"/>
      <c r="Z177" s="177"/>
      <c r="AA177" s="176"/>
    </row>
    <row r="178" spans="1:27" x14ac:dyDescent="0.25">
      <c r="A178" s="408"/>
      <c r="B178" s="411"/>
      <c r="C178" s="418"/>
      <c r="D178" s="420"/>
      <c r="E178" s="185"/>
      <c r="F178" s="185"/>
      <c r="G178" s="185"/>
      <c r="H178" s="181"/>
      <c r="I178" s="181"/>
      <c r="J178" s="176"/>
      <c r="L178" s="180"/>
      <c r="M178" s="179"/>
      <c r="N178" s="429" t="s">
        <v>985</v>
      </c>
      <c r="O178" s="183" t="s">
        <v>984</v>
      </c>
      <c r="P178" s="185">
        <v>1</v>
      </c>
      <c r="Q178" s="185">
        <v>1</v>
      </c>
      <c r="R178" s="179">
        <f t="shared" si="0"/>
        <v>0.1</v>
      </c>
      <c r="S178" s="185">
        <f t="shared" si="1"/>
        <v>0.05</v>
      </c>
      <c r="T178" s="185">
        <v>4</v>
      </c>
      <c r="U178" s="185"/>
      <c r="V178" s="185"/>
      <c r="W178" s="179"/>
      <c r="X178" s="178"/>
      <c r="Y178" s="185"/>
      <c r="Z178" s="177"/>
      <c r="AA178" s="176"/>
    </row>
    <row r="179" spans="1:27" x14ac:dyDescent="0.25">
      <c r="A179" s="408"/>
      <c r="B179" s="411"/>
      <c r="C179" s="418"/>
      <c r="D179" s="420"/>
      <c r="E179" s="185"/>
      <c r="F179" s="185"/>
      <c r="G179" s="185"/>
      <c r="H179" s="181"/>
      <c r="I179" s="181"/>
      <c r="J179" s="176"/>
      <c r="L179" s="180"/>
      <c r="M179" s="179"/>
      <c r="N179" s="428"/>
      <c r="O179" s="183" t="s">
        <v>983</v>
      </c>
      <c r="P179" s="185">
        <v>0.5</v>
      </c>
      <c r="Q179" s="185">
        <v>1</v>
      </c>
      <c r="R179" s="179">
        <f t="shared" si="0"/>
        <v>0.1</v>
      </c>
      <c r="S179" s="185">
        <f t="shared" si="1"/>
        <v>0.05</v>
      </c>
      <c r="T179" s="185">
        <v>4</v>
      </c>
      <c r="U179" s="185"/>
      <c r="V179" s="185"/>
      <c r="W179" s="179"/>
      <c r="X179" s="178"/>
      <c r="Y179" s="185"/>
      <c r="Z179" s="177"/>
      <c r="AA179" s="176"/>
    </row>
    <row r="180" spans="1:27" ht="30" x14ac:dyDescent="0.25">
      <c r="A180" s="408"/>
      <c r="B180" s="411"/>
      <c r="C180" s="418"/>
      <c r="D180" s="420"/>
      <c r="E180" s="185"/>
      <c r="F180" s="185"/>
      <c r="G180" s="185"/>
      <c r="H180" s="181"/>
      <c r="I180" s="181"/>
      <c r="J180" s="176"/>
      <c r="L180" s="180"/>
      <c r="M180" s="179"/>
      <c r="N180" s="428"/>
      <c r="O180" s="183" t="s">
        <v>978</v>
      </c>
      <c r="P180" s="185">
        <v>1</v>
      </c>
      <c r="Q180" s="185">
        <v>1</v>
      </c>
      <c r="R180" s="179">
        <f t="shared" si="0"/>
        <v>0.1</v>
      </c>
      <c r="S180" s="185">
        <f t="shared" si="1"/>
        <v>0.05</v>
      </c>
      <c r="T180" s="185">
        <v>4</v>
      </c>
      <c r="U180" s="185"/>
      <c r="V180" s="185"/>
      <c r="W180" s="179"/>
      <c r="X180" s="178"/>
      <c r="Y180" s="185"/>
      <c r="Z180" s="177"/>
      <c r="AA180" s="176"/>
    </row>
    <row r="181" spans="1:27" x14ac:dyDescent="0.25">
      <c r="A181" s="408"/>
      <c r="B181" s="411"/>
      <c r="C181" s="418"/>
      <c r="D181" s="420"/>
      <c r="E181" s="185"/>
      <c r="F181" s="185"/>
      <c r="G181" s="185"/>
      <c r="H181" s="181"/>
      <c r="I181" s="181"/>
      <c r="J181" s="176"/>
      <c r="L181" s="180"/>
      <c r="M181" s="179"/>
      <c r="N181" s="428"/>
      <c r="O181" s="183" t="s">
        <v>982</v>
      </c>
      <c r="P181" s="185">
        <v>0.6</v>
      </c>
      <c r="Q181" s="185">
        <v>1</v>
      </c>
      <c r="R181" s="179">
        <f t="shared" si="0"/>
        <v>0.1</v>
      </c>
      <c r="S181" s="185">
        <f t="shared" si="1"/>
        <v>0.05</v>
      </c>
      <c r="T181" s="185">
        <v>4</v>
      </c>
      <c r="U181" s="185"/>
      <c r="V181" s="185"/>
      <c r="W181" s="179"/>
      <c r="X181" s="178"/>
      <c r="Y181" s="185"/>
      <c r="Z181" s="177"/>
      <c r="AA181" s="176"/>
    </row>
    <row r="182" spans="1:27" x14ac:dyDescent="0.25">
      <c r="A182" s="408"/>
      <c r="B182" s="411"/>
      <c r="C182" s="418"/>
      <c r="D182" s="420"/>
      <c r="E182" s="185"/>
      <c r="F182" s="185"/>
      <c r="G182" s="185"/>
      <c r="H182" s="181"/>
      <c r="I182" s="181"/>
      <c r="J182" s="176"/>
      <c r="L182" s="180"/>
      <c r="M182" s="179"/>
      <c r="N182" s="428"/>
      <c r="O182" s="183" t="s">
        <v>977</v>
      </c>
      <c r="P182" s="185">
        <v>0.7</v>
      </c>
      <c r="Q182" s="185">
        <v>1</v>
      </c>
      <c r="R182" s="179">
        <f t="shared" si="0"/>
        <v>0.1</v>
      </c>
      <c r="S182" s="185">
        <f t="shared" si="1"/>
        <v>0.05</v>
      </c>
      <c r="T182" s="185">
        <v>4</v>
      </c>
      <c r="U182" s="185"/>
      <c r="V182" s="185"/>
      <c r="W182" s="179"/>
      <c r="X182" s="178"/>
      <c r="Y182" s="185"/>
      <c r="Z182" s="177"/>
      <c r="AA182" s="176"/>
    </row>
    <row r="183" spans="1:27" x14ac:dyDescent="0.25">
      <c r="A183" s="408"/>
      <c r="B183" s="411"/>
      <c r="C183" s="418"/>
      <c r="D183" s="420"/>
      <c r="E183" s="185"/>
      <c r="F183" s="185"/>
      <c r="G183" s="185"/>
      <c r="H183" s="181"/>
      <c r="I183" s="181"/>
      <c r="J183" s="176"/>
      <c r="L183" s="180"/>
      <c r="M183" s="179"/>
      <c r="N183" s="428"/>
      <c r="O183" s="183" t="s">
        <v>976</v>
      </c>
      <c r="P183" s="185">
        <v>7</v>
      </c>
      <c r="Q183" s="185">
        <v>1</v>
      </c>
      <c r="R183" s="179">
        <f t="shared" si="0"/>
        <v>0.1</v>
      </c>
      <c r="S183" s="185">
        <f t="shared" si="1"/>
        <v>0.05</v>
      </c>
      <c r="T183" s="185">
        <v>4</v>
      </c>
      <c r="U183" s="185"/>
      <c r="V183" s="185"/>
      <c r="W183" s="179"/>
      <c r="X183" s="178"/>
      <c r="Y183" s="185"/>
      <c r="Z183" s="177"/>
      <c r="AA183" s="176"/>
    </row>
    <row r="184" spans="1:27" x14ac:dyDescent="0.25">
      <c r="A184" s="408"/>
      <c r="B184" s="411"/>
      <c r="C184" s="418"/>
      <c r="D184" s="420"/>
      <c r="E184" s="185"/>
      <c r="F184" s="185"/>
      <c r="G184" s="185"/>
      <c r="H184" s="181"/>
      <c r="I184" s="181"/>
      <c r="J184" s="176"/>
      <c r="L184" s="180"/>
      <c r="M184" s="179"/>
      <c r="N184" s="428"/>
      <c r="O184" s="185" t="s">
        <v>975</v>
      </c>
      <c r="P184" s="185">
        <v>17</v>
      </c>
      <c r="Q184" s="185">
        <v>1</v>
      </c>
      <c r="R184" s="179">
        <f t="shared" si="0"/>
        <v>0.1</v>
      </c>
      <c r="S184" s="185">
        <f t="shared" si="1"/>
        <v>0.05</v>
      </c>
      <c r="T184" s="185">
        <v>4</v>
      </c>
      <c r="U184" s="185"/>
      <c r="V184" s="185"/>
      <c r="W184" s="179"/>
      <c r="X184" s="178"/>
      <c r="Y184" s="185"/>
      <c r="Z184" s="177"/>
      <c r="AA184" s="176"/>
    </row>
    <row r="185" spans="1:27" x14ac:dyDescent="0.25">
      <c r="A185" s="408"/>
      <c r="B185" s="411"/>
      <c r="C185" s="418"/>
      <c r="D185" s="420"/>
      <c r="E185" s="185"/>
      <c r="F185" s="185"/>
      <c r="G185" s="185"/>
      <c r="H185" s="181"/>
      <c r="I185" s="181"/>
      <c r="J185" s="176"/>
      <c r="L185" s="180"/>
      <c r="M185" s="179"/>
      <c r="N185" s="429" t="s">
        <v>981</v>
      </c>
      <c r="O185" s="183" t="s">
        <v>980</v>
      </c>
      <c r="P185" s="185">
        <v>0.8</v>
      </c>
      <c r="Q185" s="185">
        <v>1</v>
      </c>
      <c r="R185" s="179">
        <f t="shared" si="0"/>
        <v>0.1</v>
      </c>
      <c r="S185" s="185">
        <f t="shared" si="1"/>
        <v>0.05</v>
      </c>
      <c r="T185" s="185">
        <v>4</v>
      </c>
      <c r="U185" s="185"/>
      <c r="V185" s="185"/>
      <c r="W185" s="179"/>
      <c r="X185" s="178"/>
      <c r="Y185" s="185"/>
      <c r="Z185" s="177"/>
      <c r="AA185" s="176"/>
    </row>
    <row r="186" spans="1:27" ht="60" x14ac:dyDescent="0.25">
      <c r="A186" s="408"/>
      <c r="B186" s="411"/>
      <c r="C186" s="418"/>
      <c r="D186" s="420"/>
      <c r="E186" s="185"/>
      <c r="F186" s="185"/>
      <c r="G186" s="185"/>
      <c r="H186" s="181"/>
      <c r="I186" s="181"/>
      <c r="J186" s="176"/>
      <c r="L186" s="180"/>
      <c r="M186" s="179"/>
      <c r="N186" s="428"/>
      <c r="O186" s="183" t="s">
        <v>979</v>
      </c>
      <c r="P186" s="185">
        <v>4</v>
      </c>
      <c r="Q186" s="185">
        <v>1</v>
      </c>
      <c r="R186" s="179">
        <f t="shared" si="0"/>
        <v>0.1</v>
      </c>
      <c r="S186" s="185">
        <f t="shared" si="1"/>
        <v>0.05</v>
      </c>
      <c r="T186" s="185">
        <v>4</v>
      </c>
      <c r="U186" s="185"/>
      <c r="V186" s="185"/>
      <c r="W186" s="179"/>
      <c r="X186" s="178"/>
      <c r="Y186" s="185"/>
      <c r="Z186" s="177"/>
      <c r="AA186" s="176"/>
    </row>
    <row r="187" spans="1:27" ht="30" x14ac:dyDescent="0.25">
      <c r="A187" s="408"/>
      <c r="B187" s="411"/>
      <c r="C187" s="418"/>
      <c r="D187" s="420"/>
      <c r="E187" s="185"/>
      <c r="F187" s="185"/>
      <c r="G187" s="185"/>
      <c r="H187" s="181"/>
      <c r="I187" s="181"/>
      <c r="J187" s="176"/>
      <c r="L187" s="180"/>
      <c r="M187" s="179"/>
      <c r="N187" s="428"/>
      <c r="O187" s="183" t="s">
        <v>978</v>
      </c>
      <c r="P187" s="185">
        <v>1</v>
      </c>
      <c r="Q187" s="185">
        <v>1</v>
      </c>
      <c r="R187" s="179">
        <f t="shared" si="0"/>
        <v>0.1</v>
      </c>
      <c r="S187" s="185">
        <f t="shared" si="1"/>
        <v>0.05</v>
      </c>
      <c r="T187" s="185">
        <v>4</v>
      </c>
      <c r="U187" s="185"/>
      <c r="V187" s="185"/>
      <c r="W187" s="179"/>
      <c r="X187" s="178"/>
      <c r="Y187" s="185"/>
      <c r="Z187" s="177"/>
      <c r="AA187" s="176"/>
    </row>
    <row r="188" spans="1:27" x14ac:dyDescent="0.25">
      <c r="A188" s="408"/>
      <c r="B188" s="411"/>
      <c r="C188" s="418"/>
      <c r="D188" s="420"/>
      <c r="E188" s="185"/>
      <c r="F188" s="185"/>
      <c r="G188" s="185"/>
      <c r="H188" s="181"/>
      <c r="I188" s="181"/>
      <c r="J188" s="176"/>
      <c r="L188" s="180"/>
      <c r="M188" s="179"/>
      <c r="N188" s="428"/>
      <c r="O188" s="183" t="s">
        <v>977</v>
      </c>
      <c r="P188" s="185">
        <v>0.7</v>
      </c>
      <c r="Q188" s="185">
        <v>1</v>
      </c>
      <c r="R188" s="179">
        <f t="shared" si="0"/>
        <v>0.1</v>
      </c>
      <c r="S188" s="185">
        <f t="shared" si="1"/>
        <v>0.05</v>
      </c>
      <c r="T188" s="185">
        <v>4</v>
      </c>
      <c r="U188" s="185"/>
      <c r="V188" s="185"/>
      <c r="W188" s="179"/>
      <c r="X188" s="178"/>
      <c r="Y188" s="185"/>
      <c r="Z188" s="177"/>
      <c r="AA188" s="176"/>
    </row>
    <row r="189" spans="1:27" x14ac:dyDescent="0.25">
      <c r="A189" s="408"/>
      <c r="B189" s="411"/>
      <c r="C189" s="418"/>
      <c r="D189" s="420"/>
      <c r="E189" s="185"/>
      <c r="F189" s="185"/>
      <c r="G189" s="185"/>
      <c r="H189" s="181"/>
      <c r="I189" s="181"/>
      <c r="J189" s="176"/>
      <c r="L189" s="180"/>
      <c r="M189" s="179"/>
      <c r="N189" s="428"/>
      <c r="O189" s="183" t="s">
        <v>976</v>
      </c>
      <c r="P189" s="185">
        <v>7</v>
      </c>
      <c r="Q189" s="185">
        <v>1</v>
      </c>
      <c r="R189" s="179">
        <f t="shared" si="0"/>
        <v>0.1</v>
      </c>
      <c r="S189" s="185">
        <f t="shared" si="1"/>
        <v>0.05</v>
      </c>
      <c r="T189" s="185">
        <v>4</v>
      </c>
      <c r="U189" s="185"/>
      <c r="V189" s="185"/>
      <c r="W189" s="179"/>
      <c r="X189" s="178"/>
      <c r="Y189" s="185"/>
      <c r="Z189" s="177"/>
      <c r="AA189" s="176"/>
    </row>
    <row r="190" spans="1:27" x14ac:dyDescent="0.25">
      <c r="A190" s="408"/>
      <c r="B190" s="411"/>
      <c r="C190" s="419"/>
      <c r="D190" s="420"/>
      <c r="E190" s="185"/>
      <c r="F190" s="185"/>
      <c r="G190" s="185"/>
      <c r="H190" s="181"/>
      <c r="I190" s="181"/>
      <c r="J190" s="176"/>
      <c r="L190" s="180"/>
      <c r="M190" s="179"/>
      <c r="N190" s="428"/>
      <c r="O190" s="185" t="s">
        <v>975</v>
      </c>
      <c r="P190" s="185">
        <v>17</v>
      </c>
      <c r="Q190" s="185">
        <v>1</v>
      </c>
      <c r="R190" s="179">
        <f t="shared" si="0"/>
        <v>0.1</v>
      </c>
      <c r="S190" s="185">
        <f t="shared" si="1"/>
        <v>0.05</v>
      </c>
      <c r="T190" s="185">
        <v>4</v>
      </c>
      <c r="U190" s="185"/>
      <c r="V190" s="185"/>
      <c r="W190" s="179"/>
      <c r="X190" s="178"/>
      <c r="Y190" s="185"/>
      <c r="Z190" s="177"/>
      <c r="AA190" s="176"/>
    </row>
    <row r="191" spans="1:27" ht="30" x14ac:dyDescent="0.25">
      <c r="A191" s="408"/>
      <c r="B191" s="411"/>
      <c r="C191" s="413" t="s">
        <v>253</v>
      </c>
      <c r="D191" s="430" t="s">
        <v>974</v>
      </c>
      <c r="E191" s="184" t="s">
        <v>973</v>
      </c>
      <c r="F191" s="185"/>
      <c r="G191" s="185" t="s">
        <v>929</v>
      </c>
      <c r="H191" s="187">
        <f>I191*J191</f>
        <v>1087805.1406999999</v>
      </c>
      <c r="I191" s="187">
        <f>X191*Z191+Y191</f>
        <v>5.7192999999999996</v>
      </c>
      <c r="J191" s="186">
        <v>190199</v>
      </c>
      <c r="L191" s="189">
        <v>0.5</v>
      </c>
      <c r="M191" s="179">
        <f>1/6</f>
        <v>0.16666666666666666</v>
      </c>
      <c r="N191" s="185" t="s">
        <v>972</v>
      </c>
      <c r="O191" s="185" t="s">
        <v>971</v>
      </c>
      <c r="P191" s="185">
        <v>3.5</v>
      </c>
      <c r="Q191" s="185">
        <v>1</v>
      </c>
      <c r="R191" s="179">
        <f>2/6</f>
        <v>0.33333333333333331</v>
      </c>
      <c r="S191" s="185">
        <v>0.1</v>
      </c>
      <c r="T191" s="185">
        <v>2</v>
      </c>
      <c r="U191" s="185"/>
      <c r="V191" s="185">
        <v>2.5</v>
      </c>
      <c r="W191" s="179">
        <f>1/6</f>
        <v>0.16666666666666666</v>
      </c>
      <c r="X191" s="178">
        <f>(L191*M191+L192*M192+L193*M193+L208*M208+R191*T191)*6</f>
        <v>10.5</v>
      </c>
      <c r="Y191" s="185">
        <f>(P192*Q192*R192+P193*Q193*R193+V191*W191)*6</f>
        <v>2.5</v>
      </c>
      <c r="Z191" s="177">
        <v>0.30659999999999998</v>
      </c>
      <c r="AA191" s="176"/>
    </row>
    <row r="192" spans="1:27" x14ac:dyDescent="0.25">
      <c r="A192" s="408"/>
      <c r="B192" s="411"/>
      <c r="C192" s="414"/>
      <c r="D192" s="431"/>
      <c r="E192" s="184" t="s">
        <v>970</v>
      </c>
      <c r="F192" s="185"/>
      <c r="G192" s="185"/>
      <c r="H192" s="181"/>
      <c r="I192" s="181"/>
      <c r="J192" s="176"/>
      <c r="L192" s="189">
        <v>1</v>
      </c>
      <c r="M192" s="179">
        <f>1/6</f>
        <v>0.16666666666666666</v>
      </c>
      <c r="N192" s="185"/>
      <c r="O192" s="185"/>
      <c r="P192" s="185"/>
      <c r="Q192" s="185"/>
      <c r="R192" s="179"/>
      <c r="S192" s="185"/>
      <c r="T192" s="185"/>
      <c r="U192" s="185"/>
      <c r="V192" s="185"/>
      <c r="W192" s="179"/>
      <c r="X192" s="178"/>
      <c r="Y192" s="185"/>
      <c r="Z192" s="177"/>
      <c r="AA192" s="176"/>
    </row>
    <row r="193" spans="1:27" x14ac:dyDescent="0.25">
      <c r="A193" s="408"/>
      <c r="B193" s="411"/>
      <c r="C193" s="414"/>
      <c r="D193" s="432"/>
      <c r="E193" s="184" t="s">
        <v>969</v>
      </c>
      <c r="F193" s="185"/>
      <c r="G193" s="185"/>
      <c r="H193" s="181"/>
      <c r="I193" s="181"/>
      <c r="J193" s="176"/>
      <c r="L193" s="189">
        <v>1</v>
      </c>
      <c r="M193" s="179">
        <f>2/6</f>
        <v>0.33333333333333331</v>
      </c>
      <c r="N193" s="185"/>
      <c r="O193" s="185"/>
      <c r="P193" s="185"/>
      <c r="Q193" s="185"/>
      <c r="R193" s="179"/>
      <c r="S193" s="185"/>
      <c r="T193" s="185"/>
      <c r="U193" s="185"/>
      <c r="V193" s="185"/>
      <c r="W193" s="179"/>
      <c r="X193" s="178"/>
      <c r="Y193" s="185"/>
      <c r="Z193" s="177"/>
      <c r="AA193" s="176"/>
    </row>
    <row r="194" spans="1:27" ht="90" x14ac:dyDescent="0.25">
      <c r="A194" s="408"/>
      <c r="B194" s="411"/>
      <c r="C194" s="414"/>
      <c r="D194" s="406" t="s">
        <v>968</v>
      </c>
      <c r="E194" s="184" t="s">
        <v>967</v>
      </c>
      <c r="F194" s="185"/>
      <c r="G194" s="185" t="s">
        <v>929</v>
      </c>
      <c r="H194" s="187">
        <f>I194*J194</f>
        <v>6106548.1138999993</v>
      </c>
      <c r="I194" s="187">
        <f>X194*Z194+Y194</f>
        <v>32.106099999999998</v>
      </c>
      <c r="J194" s="186">
        <v>190199</v>
      </c>
      <c r="L194" s="180">
        <v>2</v>
      </c>
      <c r="M194" s="179">
        <f t="shared" ref="M194:M201" si="2">1/6</f>
        <v>0.16666666666666666</v>
      </c>
      <c r="N194" s="183" t="s">
        <v>966</v>
      </c>
      <c r="O194" s="183" t="s">
        <v>274</v>
      </c>
      <c r="P194" s="185">
        <v>2.5</v>
      </c>
      <c r="Q194" s="185">
        <v>10</v>
      </c>
      <c r="R194" s="179">
        <f>1/6</f>
        <v>0.16666666666666666</v>
      </c>
      <c r="S194" s="185">
        <v>0.5</v>
      </c>
      <c r="T194" s="185">
        <v>1</v>
      </c>
      <c r="U194" s="185"/>
      <c r="V194" s="185"/>
      <c r="W194" s="179"/>
      <c r="X194" s="178">
        <f>(L194*M194+L195*M195+L196*M196+L197*M197+S194*T194)*6</f>
        <v>8.5</v>
      </c>
      <c r="Y194" s="185">
        <f>(P194*Q194*R194+P195*Q195*R195+V194*W194)*6</f>
        <v>29.499999999999996</v>
      </c>
      <c r="Z194" s="177">
        <v>0.30659999999999998</v>
      </c>
      <c r="AA194" s="176"/>
    </row>
    <row r="195" spans="1:27" ht="30" x14ac:dyDescent="0.25">
      <c r="A195" s="408"/>
      <c r="B195" s="411"/>
      <c r="C195" s="414"/>
      <c r="D195" s="420"/>
      <c r="E195" s="184" t="s">
        <v>965</v>
      </c>
      <c r="F195" s="185"/>
      <c r="G195" s="185" t="s">
        <v>929</v>
      </c>
      <c r="H195" s="181"/>
      <c r="I195" s="181"/>
      <c r="J195" s="176"/>
      <c r="L195" s="180">
        <v>1</v>
      </c>
      <c r="M195" s="179">
        <f t="shared" si="2"/>
        <v>0.16666666666666666</v>
      </c>
      <c r="N195" s="185"/>
      <c r="O195" s="183" t="s">
        <v>964</v>
      </c>
      <c r="P195" s="185">
        <v>4.5</v>
      </c>
      <c r="Q195" s="185">
        <v>1</v>
      </c>
      <c r="R195" s="179">
        <f>1/6</f>
        <v>0.16666666666666666</v>
      </c>
      <c r="S195" s="185">
        <v>0.1</v>
      </c>
      <c r="T195" s="185">
        <v>1</v>
      </c>
      <c r="U195" s="185"/>
      <c r="V195" s="185"/>
      <c r="W195" s="179"/>
      <c r="X195" s="178"/>
      <c r="Y195" s="185"/>
      <c r="Z195" s="177"/>
      <c r="AA195" s="176"/>
    </row>
    <row r="196" spans="1:27" x14ac:dyDescent="0.25">
      <c r="A196" s="408"/>
      <c r="B196" s="411"/>
      <c r="C196" s="414"/>
      <c r="D196" s="420"/>
      <c r="E196" s="184" t="s">
        <v>963</v>
      </c>
      <c r="F196" s="185"/>
      <c r="G196" s="185"/>
      <c r="H196" s="181"/>
      <c r="I196" s="181"/>
      <c r="J196" s="176"/>
      <c r="L196" s="180">
        <v>1</v>
      </c>
      <c r="M196" s="179">
        <f t="shared" si="2"/>
        <v>0.16666666666666666</v>
      </c>
      <c r="N196" s="185"/>
      <c r="O196" s="185"/>
      <c r="P196" s="185"/>
      <c r="Q196" s="185"/>
      <c r="R196" s="179"/>
      <c r="S196" s="185"/>
      <c r="T196" s="185"/>
      <c r="U196" s="185"/>
      <c r="V196" s="185"/>
      <c r="W196" s="179"/>
      <c r="X196" s="178"/>
      <c r="Y196" s="185"/>
      <c r="Z196" s="177"/>
      <c r="AA196" s="176"/>
    </row>
    <row r="197" spans="1:27" x14ac:dyDescent="0.25">
      <c r="A197" s="408"/>
      <c r="B197" s="411"/>
      <c r="C197" s="414"/>
      <c r="D197" s="420"/>
      <c r="E197" s="184" t="s">
        <v>962</v>
      </c>
      <c r="F197" s="235" t="s">
        <v>274</v>
      </c>
      <c r="G197" s="185"/>
      <c r="H197" s="181"/>
      <c r="I197" s="181"/>
      <c r="J197" s="176"/>
      <c r="L197" s="180">
        <v>1.5</v>
      </c>
      <c r="M197" s="179">
        <f t="shared" si="2"/>
        <v>0.16666666666666666</v>
      </c>
      <c r="N197" s="185"/>
      <c r="O197" s="185"/>
      <c r="P197" s="185"/>
      <c r="Q197" s="185"/>
      <c r="R197" s="179"/>
      <c r="S197" s="185"/>
      <c r="T197" s="185"/>
      <c r="U197" s="185"/>
      <c r="V197" s="185"/>
      <c r="W197" s="179"/>
      <c r="X197" s="178"/>
      <c r="Y197" s="185"/>
      <c r="Z197" s="177"/>
      <c r="AA197" s="176"/>
    </row>
    <row r="198" spans="1:27" ht="45" x14ac:dyDescent="0.25">
      <c r="A198" s="408"/>
      <c r="B198" s="411"/>
      <c r="C198" s="414"/>
      <c r="D198" s="406" t="s">
        <v>961</v>
      </c>
      <c r="E198" s="184" t="s">
        <v>960</v>
      </c>
      <c r="F198" s="185"/>
      <c r="G198" s="185" t="s">
        <v>929</v>
      </c>
      <c r="H198" s="187">
        <f>I198*J198</f>
        <v>6766842.9622999988</v>
      </c>
      <c r="I198" s="187">
        <f>X198*Z198+Y198</f>
        <v>35.577699999999993</v>
      </c>
      <c r="J198" s="186">
        <v>190199</v>
      </c>
      <c r="L198" s="180">
        <v>0.5</v>
      </c>
      <c r="M198" s="179">
        <f t="shared" si="2"/>
        <v>0.16666666666666666</v>
      </c>
      <c r="N198" s="182" t="s">
        <v>959</v>
      </c>
      <c r="O198" s="183" t="s">
        <v>955</v>
      </c>
      <c r="P198" s="185">
        <v>25</v>
      </c>
      <c r="Q198" s="185">
        <v>1</v>
      </c>
      <c r="R198" s="179">
        <f>1/6</f>
        <v>0.16666666666666666</v>
      </c>
      <c r="S198" s="185">
        <v>1</v>
      </c>
      <c r="T198" s="185">
        <v>4</v>
      </c>
      <c r="U198" s="185"/>
      <c r="V198" s="185"/>
      <c r="W198" s="179"/>
      <c r="X198" s="178">
        <f>(L198*M198+L199*M199+L200*M200+L201*M201+S198*T198)*6</f>
        <v>34.5</v>
      </c>
      <c r="Y198" s="185">
        <f>(P198*Q198*R198+P199*Q199*R199+V198*W198)*6</f>
        <v>24.999999999999996</v>
      </c>
      <c r="Z198" s="177">
        <v>0.30659999999999998</v>
      </c>
      <c r="AA198" s="176"/>
    </row>
    <row r="199" spans="1:27" x14ac:dyDescent="0.25">
      <c r="A199" s="408"/>
      <c r="B199" s="411"/>
      <c r="C199" s="414"/>
      <c r="D199" s="420"/>
      <c r="E199" s="184" t="s">
        <v>958</v>
      </c>
      <c r="F199" s="185"/>
      <c r="G199" s="185"/>
      <c r="H199" s="181"/>
      <c r="I199" s="181"/>
      <c r="J199" s="176"/>
      <c r="L199" s="180">
        <v>1</v>
      </c>
      <c r="M199" s="179">
        <f t="shared" si="2"/>
        <v>0.16666666666666666</v>
      </c>
      <c r="N199" s="185"/>
      <c r="O199" s="185"/>
      <c r="P199" s="185"/>
      <c r="Q199" s="185"/>
      <c r="R199" s="179"/>
      <c r="S199" s="185"/>
      <c r="T199" s="185"/>
      <c r="U199" s="185"/>
      <c r="V199" s="185"/>
      <c r="W199" s="179"/>
      <c r="X199" s="178"/>
      <c r="Y199" s="185"/>
      <c r="Z199" s="177"/>
      <c r="AA199" s="176"/>
    </row>
    <row r="200" spans="1:27" x14ac:dyDescent="0.25">
      <c r="A200" s="408"/>
      <c r="B200" s="411"/>
      <c r="C200" s="414"/>
      <c r="D200" s="420"/>
      <c r="E200" s="184" t="s">
        <v>957</v>
      </c>
      <c r="F200" s="185"/>
      <c r="G200" s="185"/>
      <c r="H200" s="181"/>
      <c r="I200" s="181"/>
      <c r="J200" s="176"/>
      <c r="L200" s="180">
        <v>1</v>
      </c>
      <c r="M200" s="179">
        <f t="shared" si="2"/>
        <v>0.16666666666666666</v>
      </c>
      <c r="N200" s="185"/>
      <c r="O200" s="185"/>
      <c r="P200" s="185"/>
      <c r="Q200" s="185"/>
      <c r="R200" s="179"/>
      <c r="S200" s="185"/>
      <c r="T200" s="185"/>
      <c r="U200" s="185"/>
      <c r="V200" s="185"/>
      <c r="W200" s="179"/>
      <c r="X200" s="178"/>
      <c r="Y200" s="185"/>
      <c r="Z200" s="177"/>
      <c r="AA200" s="176"/>
    </row>
    <row r="201" spans="1:27" ht="45" x14ac:dyDescent="0.25">
      <c r="A201" s="408"/>
      <c r="B201" s="411"/>
      <c r="C201" s="415"/>
      <c r="D201" s="420"/>
      <c r="E201" s="184" t="s">
        <v>956</v>
      </c>
      <c r="F201" s="235" t="s">
        <v>955</v>
      </c>
      <c r="G201" s="185"/>
      <c r="H201" s="181"/>
      <c r="I201" s="181"/>
      <c r="J201" s="176"/>
      <c r="L201" s="180">
        <v>8</v>
      </c>
      <c r="M201" s="179">
        <f t="shared" si="2"/>
        <v>0.16666666666666666</v>
      </c>
      <c r="N201" s="185"/>
      <c r="O201" s="185"/>
      <c r="P201" s="185"/>
      <c r="Q201" s="185"/>
      <c r="R201" s="179"/>
      <c r="S201" s="185"/>
      <c r="T201" s="185"/>
      <c r="U201" s="185"/>
      <c r="V201" s="185"/>
      <c r="W201" s="179"/>
      <c r="X201" s="178"/>
      <c r="Y201" s="185"/>
      <c r="Z201" s="177"/>
      <c r="AA201" s="176"/>
    </row>
    <row r="202" spans="1:27" ht="45" x14ac:dyDescent="0.25">
      <c r="A202" s="408"/>
      <c r="B202" s="411"/>
      <c r="C202" s="421" t="s">
        <v>954</v>
      </c>
      <c r="D202" s="424" t="s">
        <v>187</v>
      </c>
      <c r="E202" s="235" t="s">
        <v>953</v>
      </c>
      <c r="F202" s="185"/>
      <c r="G202" s="185" t="s">
        <v>929</v>
      </c>
      <c r="H202" s="187">
        <f>I202*J202</f>
        <v>20013712.59888</v>
      </c>
      <c r="I202" s="187">
        <f>X202*Z202+Y202</f>
        <v>105.22512</v>
      </c>
      <c r="J202" s="186">
        <v>190199</v>
      </c>
      <c r="L202" s="180">
        <v>28</v>
      </c>
      <c r="M202" s="179">
        <v>1</v>
      </c>
      <c r="N202" s="185"/>
      <c r="O202" s="185"/>
      <c r="P202" s="185"/>
      <c r="Q202" s="185"/>
      <c r="R202" s="179"/>
      <c r="S202" s="185"/>
      <c r="T202" s="185"/>
      <c r="U202" s="185"/>
      <c r="V202" s="185"/>
      <c r="W202" s="179"/>
      <c r="X202" s="178">
        <f>(L202*M202+L203*M203+L204*M204+L205*M205+S202*T202)*6</f>
        <v>343.20000000000005</v>
      </c>
      <c r="Y202" s="185">
        <f>(P202*Q202*R202+P203*Q203*R203+V202*W202)*6</f>
        <v>0</v>
      </c>
      <c r="Z202" s="177">
        <v>0.30659999999999998</v>
      </c>
      <c r="AA202" s="176"/>
    </row>
    <row r="203" spans="1:27" x14ac:dyDescent="0.25">
      <c r="A203" s="408"/>
      <c r="B203" s="411"/>
      <c r="C203" s="422"/>
      <c r="D203" s="420"/>
      <c r="E203" s="235" t="s">
        <v>949</v>
      </c>
      <c r="F203" s="185"/>
      <c r="G203" s="185" t="s">
        <v>929</v>
      </c>
      <c r="H203" s="181"/>
      <c r="I203" s="181"/>
      <c r="J203" s="186"/>
      <c r="L203" s="180">
        <v>1</v>
      </c>
      <c r="M203" s="179">
        <v>1</v>
      </c>
      <c r="N203" s="185"/>
      <c r="O203" s="185"/>
      <c r="P203" s="185"/>
      <c r="Q203" s="185"/>
      <c r="R203" s="179"/>
      <c r="S203" s="185"/>
      <c r="T203" s="185"/>
      <c r="U203" s="185"/>
      <c r="V203" s="185"/>
      <c r="W203" s="179"/>
      <c r="X203" s="178"/>
      <c r="Y203" s="185"/>
      <c r="Z203" s="177"/>
      <c r="AA203" s="176"/>
    </row>
    <row r="204" spans="1:27" x14ac:dyDescent="0.25">
      <c r="A204" s="408"/>
      <c r="B204" s="411"/>
      <c r="C204" s="422"/>
      <c r="D204" s="424" t="s">
        <v>188</v>
      </c>
      <c r="E204" s="235" t="s">
        <v>952</v>
      </c>
      <c r="F204" s="185"/>
      <c r="G204" s="185" t="s">
        <v>929</v>
      </c>
      <c r="H204" s="181"/>
      <c r="I204" s="181"/>
      <c r="J204" s="186"/>
      <c r="L204" s="180">
        <v>28</v>
      </c>
      <c r="M204" s="179">
        <v>1</v>
      </c>
      <c r="N204" s="185"/>
      <c r="O204" s="185"/>
      <c r="P204" s="185"/>
      <c r="Q204" s="185"/>
      <c r="R204" s="179"/>
      <c r="S204" s="185"/>
      <c r="T204" s="185"/>
      <c r="U204" s="185"/>
      <c r="V204" s="185"/>
      <c r="W204" s="179"/>
      <c r="X204" s="178"/>
      <c r="Y204" s="185"/>
      <c r="Z204" s="177"/>
      <c r="AA204" s="176"/>
    </row>
    <row r="205" spans="1:27" x14ac:dyDescent="0.25">
      <c r="A205" s="408"/>
      <c r="B205" s="411"/>
      <c r="C205" s="422"/>
      <c r="D205" s="420"/>
      <c r="E205" s="235" t="s">
        <v>951</v>
      </c>
      <c r="F205" s="185"/>
      <c r="G205" s="185" t="s">
        <v>929</v>
      </c>
      <c r="H205" s="181"/>
      <c r="I205" s="181"/>
      <c r="J205" s="186"/>
      <c r="L205" s="180">
        <v>0.2</v>
      </c>
      <c r="M205" s="179">
        <v>1</v>
      </c>
      <c r="N205" s="185"/>
      <c r="O205" s="185"/>
      <c r="P205" s="185"/>
      <c r="Q205" s="185"/>
      <c r="R205" s="179"/>
      <c r="S205" s="185"/>
      <c r="T205" s="185"/>
      <c r="U205" s="185"/>
      <c r="V205" s="185"/>
      <c r="W205" s="179"/>
      <c r="X205" s="178"/>
      <c r="Y205" s="185"/>
      <c r="Z205" s="177"/>
      <c r="AA205" s="176"/>
    </row>
    <row r="206" spans="1:27" ht="30" x14ac:dyDescent="0.25">
      <c r="A206" s="408"/>
      <c r="B206" s="411"/>
      <c r="C206" s="422"/>
      <c r="D206" s="424" t="s">
        <v>189</v>
      </c>
      <c r="E206" s="235" t="s">
        <v>950</v>
      </c>
      <c r="F206" s="185"/>
      <c r="G206" s="185" t="s">
        <v>929</v>
      </c>
      <c r="H206" s="181"/>
      <c r="I206" s="181"/>
      <c r="J206" s="186"/>
      <c r="L206" s="180">
        <v>1</v>
      </c>
      <c r="M206" s="179">
        <v>1</v>
      </c>
      <c r="N206" s="185"/>
      <c r="O206" s="185"/>
      <c r="P206" s="185"/>
      <c r="Q206" s="185"/>
      <c r="R206" s="179"/>
      <c r="S206" s="185"/>
      <c r="T206" s="185"/>
      <c r="U206" s="185"/>
      <c r="V206" s="185"/>
      <c r="W206" s="179"/>
      <c r="X206" s="178"/>
      <c r="Y206" s="185"/>
      <c r="Z206" s="177"/>
      <c r="AA206" s="176"/>
    </row>
    <row r="207" spans="1:27" x14ac:dyDescent="0.25">
      <c r="A207" s="408"/>
      <c r="B207" s="411"/>
      <c r="C207" s="422"/>
      <c r="D207" s="420"/>
      <c r="E207" s="235" t="s">
        <v>949</v>
      </c>
      <c r="F207" s="185"/>
      <c r="G207" s="185" t="s">
        <v>929</v>
      </c>
      <c r="H207" s="181"/>
      <c r="I207" s="181"/>
      <c r="J207" s="186"/>
      <c r="L207" s="180">
        <v>0.2</v>
      </c>
      <c r="M207" s="179">
        <v>1</v>
      </c>
      <c r="N207" s="185"/>
      <c r="O207" s="185"/>
      <c r="P207" s="185"/>
      <c r="Q207" s="185"/>
      <c r="R207" s="179"/>
      <c r="S207" s="185"/>
      <c r="T207" s="185"/>
      <c r="U207" s="185"/>
      <c r="V207" s="185"/>
      <c r="W207" s="179"/>
      <c r="X207" s="178"/>
      <c r="Y207" s="185"/>
      <c r="Z207" s="177"/>
      <c r="AA207" s="176"/>
    </row>
    <row r="208" spans="1:27" ht="30" x14ac:dyDescent="0.25">
      <c r="A208" s="408"/>
      <c r="B208" s="411"/>
      <c r="C208" s="422"/>
      <c r="D208" s="406" t="s">
        <v>190</v>
      </c>
      <c r="E208" s="184" t="s">
        <v>948</v>
      </c>
      <c r="F208" s="185"/>
      <c r="G208" s="185"/>
      <c r="H208" s="187">
        <f>I208*J208</f>
        <v>2200016.6170800002</v>
      </c>
      <c r="I208" s="187">
        <f>X208*Z208+Y208</f>
        <v>11.566920000000001</v>
      </c>
      <c r="J208" s="186">
        <v>190199</v>
      </c>
      <c r="L208" s="180">
        <v>1</v>
      </c>
      <c r="M208" s="179">
        <f>3/6</f>
        <v>0.5</v>
      </c>
      <c r="N208" s="183" t="s">
        <v>947</v>
      </c>
      <c r="O208" s="183" t="s">
        <v>946</v>
      </c>
      <c r="P208" s="182">
        <v>0.1</v>
      </c>
      <c r="Q208" s="185">
        <v>1</v>
      </c>
      <c r="R208" s="179">
        <f t="shared" ref="R208:R219" si="3">3/6</f>
        <v>0.5</v>
      </c>
      <c r="S208" s="185">
        <f t="shared" ref="S208:S219" si="4">1/20</f>
        <v>0.05</v>
      </c>
      <c r="T208" s="185">
        <v>4</v>
      </c>
      <c r="U208" s="185"/>
      <c r="V208" s="185"/>
      <c r="W208" s="179"/>
      <c r="X208" s="178">
        <f>(L208*M208+L209*M209+L210*M210+L211*M211+S208*T208)*6</f>
        <v>16.200000000000003</v>
      </c>
      <c r="Y208" s="185">
        <f>(P208*Q208*R208+P209*Q209*R209+P210*Q210*R210+P211*Q211*R211+P212*Q212*R212+P213*Q213*R213+P214*Q214*R214+P215*Q215*R215+P216*Q216*R216+P217*Q217*R217+P218*Q218*R218+P219*Q219*R219+V208*W208)*6</f>
        <v>6.6000000000000005</v>
      </c>
      <c r="Z208" s="177">
        <v>0.30659999999999998</v>
      </c>
      <c r="AA208" s="176"/>
    </row>
    <row r="209" spans="1:27" ht="45" x14ac:dyDescent="0.25">
      <c r="A209" s="408"/>
      <c r="B209" s="411"/>
      <c r="C209" s="422"/>
      <c r="D209" s="420"/>
      <c r="E209" s="184" t="s">
        <v>945</v>
      </c>
      <c r="F209" s="185"/>
      <c r="G209" s="185"/>
      <c r="H209" s="181"/>
      <c r="I209" s="181"/>
      <c r="J209" s="176"/>
      <c r="L209" s="180">
        <v>1</v>
      </c>
      <c r="M209" s="179">
        <f>3/6</f>
        <v>0.5</v>
      </c>
      <c r="N209" s="185"/>
      <c r="O209" s="183" t="s">
        <v>944</v>
      </c>
      <c r="P209" s="182">
        <v>0.1</v>
      </c>
      <c r="Q209" s="185">
        <v>1</v>
      </c>
      <c r="R209" s="179">
        <f t="shared" si="3"/>
        <v>0.5</v>
      </c>
      <c r="S209" s="185">
        <f t="shared" si="4"/>
        <v>0.05</v>
      </c>
      <c r="T209" s="185">
        <v>4</v>
      </c>
      <c r="U209" s="185"/>
      <c r="V209" s="185"/>
      <c r="W209" s="179"/>
      <c r="X209" s="178"/>
      <c r="Y209" s="185"/>
      <c r="Z209" s="177"/>
      <c r="AA209" s="176"/>
    </row>
    <row r="210" spans="1:27" x14ac:dyDescent="0.25">
      <c r="A210" s="408"/>
      <c r="B210" s="411"/>
      <c r="C210" s="422"/>
      <c r="D210" s="420"/>
      <c r="E210" s="184" t="s">
        <v>943</v>
      </c>
      <c r="F210" s="185"/>
      <c r="G210" s="185"/>
      <c r="H210" s="181"/>
      <c r="I210" s="181"/>
      <c r="J210" s="176"/>
      <c r="L210" s="180">
        <v>1</v>
      </c>
      <c r="M210" s="179">
        <f>3/6</f>
        <v>0.5</v>
      </c>
      <c r="N210" s="185"/>
      <c r="O210" s="183" t="s">
        <v>942</v>
      </c>
      <c r="P210" s="182">
        <v>0.1</v>
      </c>
      <c r="Q210" s="185">
        <v>1</v>
      </c>
      <c r="R210" s="179">
        <f t="shared" si="3"/>
        <v>0.5</v>
      </c>
      <c r="S210" s="185">
        <f t="shared" si="4"/>
        <v>0.05</v>
      </c>
      <c r="T210" s="185">
        <v>4</v>
      </c>
      <c r="U210" s="185"/>
      <c r="V210" s="185"/>
      <c r="W210" s="179"/>
      <c r="X210" s="178"/>
      <c r="Y210" s="185"/>
      <c r="Z210" s="177"/>
      <c r="AA210" s="176"/>
    </row>
    <row r="211" spans="1:27" ht="30" x14ac:dyDescent="0.25">
      <c r="A211" s="408"/>
      <c r="B211" s="411"/>
      <c r="C211" s="422"/>
      <c r="D211" s="420"/>
      <c r="E211" s="188" t="s">
        <v>941</v>
      </c>
      <c r="F211" s="185"/>
      <c r="G211" s="185"/>
      <c r="H211" s="181"/>
      <c r="I211" s="181"/>
      <c r="J211" s="176"/>
      <c r="L211" s="180">
        <v>2</v>
      </c>
      <c r="M211" s="179">
        <f>3/6</f>
        <v>0.5</v>
      </c>
      <c r="N211" s="185"/>
      <c r="O211" s="183" t="s">
        <v>940</v>
      </c>
      <c r="P211" s="182">
        <v>0.1</v>
      </c>
      <c r="Q211" s="185">
        <v>1</v>
      </c>
      <c r="R211" s="179">
        <f t="shared" si="3"/>
        <v>0.5</v>
      </c>
      <c r="S211" s="185">
        <f t="shared" si="4"/>
        <v>0.05</v>
      </c>
      <c r="T211" s="185">
        <v>4</v>
      </c>
      <c r="U211" s="185"/>
      <c r="V211" s="185"/>
      <c r="W211" s="179"/>
      <c r="X211" s="178"/>
      <c r="Y211" s="185"/>
      <c r="Z211" s="177"/>
      <c r="AA211" s="176"/>
    </row>
    <row r="212" spans="1:27" x14ac:dyDescent="0.25">
      <c r="A212" s="408"/>
      <c r="B212" s="411"/>
      <c r="C212" s="422"/>
      <c r="D212" s="420"/>
      <c r="E212" s="232"/>
      <c r="F212" s="185"/>
      <c r="G212" s="185"/>
      <c r="H212" s="181"/>
      <c r="I212" s="181"/>
      <c r="J212" s="176"/>
      <c r="L212" s="180"/>
      <c r="M212" s="179"/>
      <c r="N212" s="185"/>
      <c r="O212" s="183" t="s">
        <v>939</v>
      </c>
      <c r="P212" s="182">
        <v>0.1</v>
      </c>
      <c r="Q212" s="185">
        <v>1</v>
      </c>
      <c r="R212" s="179">
        <f t="shared" si="3"/>
        <v>0.5</v>
      </c>
      <c r="S212" s="185">
        <f t="shared" si="4"/>
        <v>0.05</v>
      </c>
      <c r="T212" s="185">
        <v>4</v>
      </c>
      <c r="U212" s="185"/>
      <c r="V212" s="185"/>
      <c r="W212" s="179"/>
      <c r="X212" s="178"/>
      <c r="Y212" s="185"/>
      <c r="Z212" s="177"/>
      <c r="AA212" s="176"/>
    </row>
    <row r="213" spans="1:27" ht="45" x14ac:dyDescent="0.25">
      <c r="A213" s="408"/>
      <c r="B213" s="411"/>
      <c r="C213" s="422"/>
      <c r="D213" s="420"/>
      <c r="E213" s="232"/>
      <c r="F213" s="185"/>
      <c r="G213" s="185"/>
      <c r="H213" s="181"/>
      <c r="I213" s="181"/>
      <c r="J213" s="176"/>
      <c r="L213" s="180"/>
      <c r="M213" s="179"/>
      <c r="N213" s="185"/>
      <c r="O213" s="183" t="s">
        <v>938</v>
      </c>
      <c r="P213" s="182">
        <v>0.1</v>
      </c>
      <c r="Q213" s="185">
        <v>1</v>
      </c>
      <c r="R213" s="179">
        <f t="shared" si="3"/>
        <v>0.5</v>
      </c>
      <c r="S213" s="185">
        <f t="shared" si="4"/>
        <v>0.05</v>
      </c>
      <c r="T213" s="185">
        <v>4</v>
      </c>
      <c r="U213" s="185"/>
      <c r="V213" s="185"/>
      <c r="W213" s="179"/>
      <c r="X213" s="178"/>
      <c r="Y213" s="185"/>
      <c r="Z213" s="177"/>
      <c r="AA213" s="176"/>
    </row>
    <row r="214" spans="1:27" ht="30" x14ac:dyDescent="0.25">
      <c r="A214" s="408"/>
      <c r="B214" s="411"/>
      <c r="C214" s="422"/>
      <c r="D214" s="420"/>
      <c r="E214" s="232"/>
      <c r="F214" s="185"/>
      <c r="G214" s="185"/>
      <c r="H214" s="181"/>
      <c r="I214" s="181"/>
      <c r="J214" s="176"/>
      <c r="L214" s="180"/>
      <c r="M214" s="179"/>
      <c r="N214" s="185"/>
      <c r="O214" s="183" t="s">
        <v>937</v>
      </c>
      <c r="P214" s="182">
        <v>0.1</v>
      </c>
      <c r="Q214" s="185">
        <v>1</v>
      </c>
      <c r="R214" s="179">
        <f t="shared" si="3"/>
        <v>0.5</v>
      </c>
      <c r="S214" s="185">
        <f t="shared" si="4"/>
        <v>0.05</v>
      </c>
      <c r="T214" s="185">
        <v>4</v>
      </c>
      <c r="U214" s="185"/>
      <c r="V214" s="185"/>
      <c r="W214" s="179"/>
      <c r="X214" s="178"/>
      <c r="Y214" s="185"/>
      <c r="Z214" s="177"/>
      <c r="AA214" s="176"/>
    </row>
    <row r="215" spans="1:27" x14ac:dyDescent="0.25">
      <c r="A215" s="408"/>
      <c r="B215" s="411"/>
      <c r="C215" s="422"/>
      <c r="D215" s="420"/>
      <c r="E215" s="232"/>
      <c r="F215" s="185"/>
      <c r="G215" s="185"/>
      <c r="H215" s="181"/>
      <c r="I215" s="181"/>
      <c r="J215" s="176"/>
      <c r="L215" s="180"/>
      <c r="M215" s="179"/>
      <c r="N215" s="185"/>
      <c r="O215" s="183" t="s">
        <v>936</v>
      </c>
      <c r="P215" s="182">
        <v>0.1</v>
      </c>
      <c r="Q215" s="185">
        <v>6</v>
      </c>
      <c r="R215" s="179">
        <f t="shared" si="3"/>
        <v>0.5</v>
      </c>
      <c r="S215" s="185">
        <f t="shared" si="4"/>
        <v>0.05</v>
      </c>
      <c r="T215" s="185">
        <v>4</v>
      </c>
      <c r="U215" s="185"/>
      <c r="V215" s="185"/>
      <c r="W215" s="179"/>
      <c r="X215" s="178"/>
      <c r="Y215" s="185"/>
      <c r="Z215" s="177"/>
      <c r="AA215" s="176"/>
    </row>
    <row r="216" spans="1:27" x14ac:dyDescent="0.25">
      <c r="A216" s="408"/>
      <c r="B216" s="411"/>
      <c r="C216" s="422"/>
      <c r="D216" s="420"/>
      <c r="E216" s="232"/>
      <c r="F216" s="185"/>
      <c r="G216" s="185"/>
      <c r="H216" s="181"/>
      <c r="I216" s="181"/>
      <c r="J216" s="176"/>
      <c r="L216" s="180"/>
      <c r="M216" s="179"/>
      <c r="N216" s="185"/>
      <c r="O216" s="183" t="s">
        <v>935</v>
      </c>
      <c r="P216" s="182">
        <v>0.1</v>
      </c>
      <c r="Q216" s="185">
        <v>1</v>
      </c>
      <c r="R216" s="179">
        <f t="shared" si="3"/>
        <v>0.5</v>
      </c>
      <c r="S216" s="185">
        <f t="shared" si="4"/>
        <v>0.05</v>
      </c>
      <c r="T216" s="185">
        <v>4</v>
      </c>
      <c r="U216" s="185"/>
      <c r="V216" s="185"/>
      <c r="W216" s="179"/>
      <c r="X216" s="178"/>
      <c r="Y216" s="185"/>
      <c r="Z216" s="177"/>
      <c r="AA216" s="176"/>
    </row>
    <row r="217" spans="1:27" x14ac:dyDescent="0.25">
      <c r="A217" s="408"/>
      <c r="B217" s="411"/>
      <c r="C217" s="422"/>
      <c r="D217" s="420"/>
      <c r="E217" s="232"/>
      <c r="F217" s="185"/>
      <c r="G217" s="185"/>
      <c r="H217" s="181"/>
      <c r="I217" s="181"/>
      <c r="J217" s="176"/>
      <c r="L217" s="180"/>
      <c r="M217" s="179"/>
      <c r="N217" s="185"/>
      <c r="O217" s="183" t="s">
        <v>934</v>
      </c>
      <c r="P217" s="182">
        <v>0.1</v>
      </c>
      <c r="Q217" s="185">
        <v>1</v>
      </c>
      <c r="R217" s="179">
        <f t="shared" si="3"/>
        <v>0.5</v>
      </c>
      <c r="S217" s="185">
        <f t="shared" si="4"/>
        <v>0.05</v>
      </c>
      <c r="T217" s="185">
        <v>4</v>
      </c>
      <c r="U217" s="185"/>
      <c r="V217" s="185"/>
      <c r="W217" s="179"/>
      <c r="X217" s="178"/>
      <c r="Y217" s="185"/>
      <c r="Z217" s="177"/>
      <c r="AA217" s="176"/>
    </row>
    <row r="218" spans="1:27" ht="30" x14ac:dyDescent="0.25">
      <c r="A218" s="408"/>
      <c r="B218" s="411"/>
      <c r="C218" s="422"/>
      <c r="D218" s="420"/>
      <c r="E218" s="232"/>
      <c r="F218" s="185"/>
      <c r="G218" s="185"/>
      <c r="H218" s="181"/>
      <c r="I218" s="181"/>
      <c r="J218" s="176"/>
      <c r="L218" s="180"/>
      <c r="M218" s="179"/>
      <c r="N218" s="185"/>
      <c r="O218" s="183" t="s">
        <v>933</v>
      </c>
      <c r="P218" s="182">
        <v>0.1</v>
      </c>
      <c r="Q218" s="185">
        <v>1</v>
      </c>
      <c r="R218" s="179">
        <f t="shared" si="3"/>
        <v>0.5</v>
      </c>
      <c r="S218" s="185">
        <f t="shared" si="4"/>
        <v>0.05</v>
      </c>
      <c r="T218" s="185">
        <v>4</v>
      </c>
      <c r="U218" s="185"/>
      <c r="V218" s="185"/>
      <c r="W218" s="179"/>
      <c r="X218" s="178"/>
      <c r="Y218" s="185"/>
      <c r="Z218" s="177"/>
      <c r="AA218" s="176"/>
    </row>
    <row r="219" spans="1:27" x14ac:dyDescent="0.25">
      <c r="A219" s="408"/>
      <c r="B219" s="411"/>
      <c r="C219" s="422"/>
      <c r="D219" s="420"/>
      <c r="E219" s="232"/>
      <c r="F219" s="185"/>
      <c r="G219" s="185"/>
      <c r="H219" s="181"/>
      <c r="I219" s="181"/>
      <c r="J219" s="176"/>
      <c r="L219" s="180"/>
      <c r="M219" s="179"/>
      <c r="N219" s="185"/>
      <c r="O219" s="183" t="s">
        <v>932</v>
      </c>
      <c r="P219" s="182">
        <v>0.1</v>
      </c>
      <c r="Q219" s="185">
        <v>6</v>
      </c>
      <c r="R219" s="179">
        <f t="shared" si="3"/>
        <v>0.5</v>
      </c>
      <c r="S219" s="185">
        <f t="shared" si="4"/>
        <v>0.05</v>
      </c>
      <c r="T219" s="185">
        <v>4</v>
      </c>
      <c r="U219" s="185"/>
      <c r="V219" s="185"/>
      <c r="W219" s="179"/>
      <c r="X219" s="178"/>
      <c r="Y219" s="185"/>
      <c r="Z219" s="177"/>
      <c r="AA219" s="176"/>
    </row>
    <row r="220" spans="1:27" x14ac:dyDescent="0.25">
      <c r="A220" s="408"/>
      <c r="B220" s="411"/>
      <c r="C220" s="422"/>
      <c r="D220" s="425" t="s">
        <v>931</v>
      </c>
      <c r="E220" s="184" t="s">
        <v>930</v>
      </c>
      <c r="F220" s="185"/>
      <c r="G220" s="185" t="s">
        <v>929</v>
      </c>
      <c r="H220" s="187">
        <f>I220*J220</f>
        <v>2387872.3653999995</v>
      </c>
      <c r="I220" s="187">
        <f>X220*Z220+Y220</f>
        <v>12.554599999999997</v>
      </c>
      <c r="J220" s="186">
        <v>190199</v>
      </c>
      <c r="L220" s="180">
        <v>16</v>
      </c>
      <c r="M220" s="179">
        <f>1/6</f>
        <v>0.16666666666666666</v>
      </c>
      <c r="N220" s="185"/>
      <c r="O220" s="185"/>
      <c r="P220" s="185"/>
      <c r="Q220" s="185"/>
      <c r="R220" s="179"/>
      <c r="S220" s="185"/>
      <c r="T220" s="185"/>
      <c r="U220" s="185"/>
      <c r="V220" s="185">
        <v>2.5</v>
      </c>
      <c r="W220" s="179">
        <f>1/6</f>
        <v>0.16666666666666666</v>
      </c>
      <c r="X220" s="178">
        <f>(L220*M220+L221*M221+L222*M222+L223*M223+S220*T220)*6</f>
        <v>30.999999999999996</v>
      </c>
      <c r="Y220" s="185">
        <f>(P221*Q221*R221+P222*Q222*R222+P223*Q223*R223+V220*W220)*6</f>
        <v>3.05</v>
      </c>
      <c r="Z220" s="177">
        <v>0.30659999999999998</v>
      </c>
      <c r="AA220" s="176"/>
    </row>
    <row r="221" spans="1:27" ht="60" x14ac:dyDescent="0.25">
      <c r="A221" s="408"/>
      <c r="B221" s="411"/>
      <c r="C221" s="422"/>
      <c r="D221" s="426"/>
      <c r="E221" s="184" t="s">
        <v>928</v>
      </c>
      <c r="F221" s="185"/>
      <c r="G221" s="185"/>
      <c r="H221" s="181"/>
      <c r="I221" s="181"/>
      <c r="J221" s="176"/>
      <c r="L221" s="180">
        <v>1</v>
      </c>
      <c r="M221" s="179">
        <f>1/6</f>
        <v>0.16666666666666666</v>
      </c>
      <c r="N221" s="183" t="s">
        <v>925</v>
      </c>
      <c r="O221" s="183" t="s">
        <v>927</v>
      </c>
      <c r="P221" s="182">
        <v>0.1</v>
      </c>
      <c r="Q221" s="185">
        <v>1</v>
      </c>
      <c r="R221" s="179">
        <f>1/6</f>
        <v>0.16666666666666666</v>
      </c>
      <c r="S221" s="185"/>
      <c r="T221" s="185"/>
      <c r="U221" s="185"/>
      <c r="V221" s="185"/>
      <c r="W221" s="179"/>
      <c r="X221" s="178"/>
      <c r="Y221" s="185"/>
      <c r="Z221" s="177"/>
      <c r="AA221" s="176"/>
    </row>
    <row r="222" spans="1:27" ht="45" x14ac:dyDescent="0.25">
      <c r="A222" s="408"/>
      <c r="B222" s="411"/>
      <c r="C222" s="422"/>
      <c r="D222" s="426"/>
      <c r="E222" s="184" t="s">
        <v>926</v>
      </c>
      <c r="F222" s="235" t="s">
        <v>925</v>
      </c>
      <c r="G222" s="185"/>
      <c r="H222" s="181"/>
      <c r="I222" s="181"/>
      <c r="J222" s="176"/>
      <c r="L222" s="180">
        <v>2</v>
      </c>
      <c r="M222" s="179">
        <f>1/6</f>
        <v>0.16666666666666666</v>
      </c>
      <c r="N222" s="185"/>
      <c r="O222" s="183" t="s">
        <v>924</v>
      </c>
      <c r="P222" s="182">
        <v>0.25</v>
      </c>
      <c r="Q222" s="185">
        <v>1</v>
      </c>
      <c r="R222" s="179">
        <f>1/6</f>
        <v>0.16666666666666666</v>
      </c>
      <c r="S222" s="185"/>
      <c r="T222" s="185"/>
      <c r="U222" s="185"/>
      <c r="V222" s="185"/>
      <c r="W222" s="179"/>
      <c r="X222" s="178"/>
      <c r="Y222" s="185"/>
      <c r="Z222" s="177"/>
      <c r="AA222" s="176"/>
    </row>
    <row r="223" spans="1:27" ht="30" x14ac:dyDescent="0.25">
      <c r="A223" s="409"/>
      <c r="B223" s="412"/>
      <c r="C223" s="423"/>
      <c r="D223" s="427"/>
      <c r="E223" s="184" t="s">
        <v>923</v>
      </c>
      <c r="F223" s="235" t="s">
        <v>922</v>
      </c>
      <c r="G223" s="185"/>
      <c r="H223" s="181"/>
      <c r="I223" s="181"/>
      <c r="J223" s="176"/>
      <c r="L223" s="180">
        <v>2</v>
      </c>
      <c r="M223" s="179">
        <v>1</v>
      </c>
      <c r="N223" s="185"/>
      <c r="O223" s="183" t="s">
        <v>921</v>
      </c>
      <c r="P223" s="182">
        <v>0.2</v>
      </c>
      <c r="Q223" s="185">
        <v>1</v>
      </c>
      <c r="R223" s="179">
        <f>1/6</f>
        <v>0.16666666666666666</v>
      </c>
      <c r="S223" s="185"/>
      <c r="T223" s="185"/>
      <c r="U223" s="185"/>
      <c r="V223" s="185"/>
      <c r="W223" s="179"/>
      <c r="X223" s="178"/>
      <c r="Y223" s="185"/>
      <c r="Z223" s="177"/>
      <c r="AA223" s="176"/>
    </row>
    <row r="224" spans="1:27" ht="45" x14ac:dyDescent="0.25">
      <c r="A224" s="180">
        <v>8</v>
      </c>
      <c r="B224" s="233" t="s">
        <v>920</v>
      </c>
      <c r="C224" s="185"/>
      <c r="D224" s="185"/>
      <c r="E224" s="185"/>
      <c r="F224" s="185"/>
      <c r="G224" s="185"/>
      <c r="H224" s="181"/>
      <c r="I224" s="181"/>
      <c r="J224" s="176"/>
      <c r="L224" s="180"/>
      <c r="M224" s="179"/>
      <c r="N224" s="185"/>
      <c r="O224" s="185"/>
      <c r="P224" s="185"/>
      <c r="Q224" s="185"/>
      <c r="R224" s="179"/>
      <c r="S224" s="185"/>
      <c r="T224" s="185"/>
      <c r="U224" s="185"/>
      <c r="V224" s="185"/>
      <c r="W224" s="179"/>
      <c r="X224" s="178"/>
      <c r="Y224" s="185"/>
      <c r="Z224" s="177"/>
      <c r="AA224" s="176"/>
    </row>
    <row r="225" spans="1:27" ht="15.75" thickBot="1" x14ac:dyDescent="0.3">
      <c r="A225" s="174"/>
      <c r="B225" s="171"/>
      <c r="C225" s="171"/>
      <c r="D225" s="171"/>
      <c r="E225" s="171"/>
      <c r="F225" s="171"/>
      <c r="G225" s="171"/>
      <c r="H225" s="175"/>
      <c r="I225" s="175"/>
      <c r="J225" s="169"/>
      <c r="L225" s="174"/>
      <c r="M225" s="173"/>
      <c r="N225" s="171"/>
      <c r="O225" s="171"/>
      <c r="P225" s="171"/>
      <c r="Q225" s="171"/>
      <c r="R225" s="173"/>
      <c r="S225" s="171"/>
      <c r="T225" s="171"/>
      <c r="U225" s="171"/>
      <c r="V225" s="171"/>
      <c r="W225" s="173"/>
      <c r="X225" s="172"/>
      <c r="Y225" s="171"/>
      <c r="Z225" s="170"/>
      <c r="AA225" s="169"/>
    </row>
  </sheetData>
  <mergeCells count="83">
    <mergeCell ref="N171:N177"/>
    <mergeCell ref="N178:N184"/>
    <mergeCell ref="N185:N190"/>
    <mergeCell ref="C191:C201"/>
    <mergeCell ref="D191:D193"/>
    <mergeCell ref="D194:D197"/>
    <mergeCell ref="D198:D201"/>
    <mergeCell ref="A151:A165"/>
    <mergeCell ref="B151:B165"/>
    <mergeCell ref="C151:C165"/>
    <mergeCell ref="D151:D158"/>
    <mergeCell ref="D159:D165"/>
    <mergeCell ref="A166:A223"/>
    <mergeCell ref="B166:B223"/>
    <mergeCell ref="C166:C190"/>
    <mergeCell ref="D166:D170"/>
    <mergeCell ref="D171:D190"/>
    <mergeCell ref="C202:C223"/>
    <mergeCell ref="D202:D203"/>
    <mergeCell ref="D204:D205"/>
    <mergeCell ref="D206:D207"/>
    <mergeCell ref="D208:D219"/>
    <mergeCell ref="D220:D223"/>
    <mergeCell ref="B103:B129"/>
    <mergeCell ref="C103:C111"/>
    <mergeCell ref="C112:C120"/>
    <mergeCell ref="C121:C129"/>
    <mergeCell ref="A130:A141"/>
    <mergeCell ref="B130:B141"/>
    <mergeCell ref="C130:C135"/>
    <mergeCell ref="C136:C141"/>
    <mergeCell ref="A103:A129"/>
    <mergeCell ref="A142:A150"/>
    <mergeCell ref="B142:B150"/>
    <mergeCell ref="C142:C150"/>
    <mergeCell ref="D143:D144"/>
    <mergeCell ref="D145:D147"/>
    <mergeCell ref="D148:D150"/>
    <mergeCell ref="D43:D44"/>
    <mergeCell ref="D45:D46"/>
    <mergeCell ref="C47:C66"/>
    <mergeCell ref="A67:A102"/>
    <mergeCell ref="B67:B102"/>
    <mergeCell ref="C67:C81"/>
    <mergeCell ref="C82:C96"/>
    <mergeCell ref="C97:C102"/>
    <mergeCell ref="A6:A66"/>
    <mergeCell ref="B6:B66"/>
    <mergeCell ref="C6:C8"/>
    <mergeCell ref="D6:D7"/>
    <mergeCell ref="D37:D38"/>
    <mergeCell ref="D39:D40"/>
    <mergeCell ref="G6:G7"/>
    <mergeCell ref="C9:C16"/>
    <mergeCell ref="D9:D12"/>
    <mergeCell ref="D13:D16"/>
    <mergeCell ref="C17:C46"/>
    <mergeCell ref="D17:D18"/>
    <mergeCell ref="D41:D42"/>
    <mergeCell ref="D19:D20"/>
    <mergeCell ref="D21:D22"/>
    <mergeCell ref="D23:D24"/>
    <mergeCell ref="D25:D26"/>
    <mergeCell ref="D27:D28"/>
    <mergeCell ref="D29:D30"/>
    <mergeCell ref="D31:D32"/>
    <mergeCell ref="D33:D34"/>
    <mergeCell ref="D35:D36"/>
    <mergeCell ref="L3:AA3"/>
    <mergeCell ref="L4:L5"/>
    <mergeCell ref="M4:M5"/>
    <mergeCell ref="N4:T4"/>
    <mergeCell ref="U4:W4"/>
    <mergeCell ref="X4:X5"/>
    <mergeCell ref="Y4:Y5"/>
    <mergeCell ref="Z4:Z5"/>
    <mergeCell ref="AA4:AA5"/>
    <mergeCell ref="H3:J4"/>
    <mergeCell ref="A3:A5"/>
    <mergeCell ref="B3:B5"/>
    <mergeCell ref="C3:C5"/>
    <mergeCell ref="D3:D5"/>
    <mergeCell ref="E3:G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117"/>
  <sheetViews>
    <sheetView zoomScaleNormal="100" workbookViewId="0">
      <pane xSplit="2" ySplit="3" topLeftCell="C44" activePane="bottomRight" state="frozen"/>
      <selection activeCell="Q194" sqref="Q194"/>
      <selection pane="topRight" activeCell="Q194" sqref="Q194"/>
      <selection pane="bottomLeft" activeCell="Q194" sqref="Q194"/>
      <selection pane="bottomRight" activeCell="K54" sqref="K54"/>
    </sheetView>
  </sheetViews>
  <sheetFormatPr defaultRowHeight="15" x14ac:dyDescent="0.25"/>
  <cols>
    <col min="1" max="1" width="3.85546875" customWidth="1"/>
    <col min="2" max="2" width="48.85546875" customWidth="1"/>
    <col min="3" max="3" width="5.140625" customWidth="1"/>
    <col min="4" max="4" width="63.28515625" customWidth="1"/>
    <col min="5" max="5" width="29.140625" customWidth="1"/>
    <col min="7" max="7" width="8.85546875" customWidth="1"/>
  </cols>
  <sheetData>
    <row r="1" spans="1:8" ht="15.75" x14ac:dyDescent="0.25">
      <c r="A1" s="128" t="s">
        <v>160</v>
      </c>
    </row>
    <row r="3" spans="1:8" ht="45" x14ac:dyDescent="0.25">
      <c r="A3" s="129" t="s">
        <v>176</v>
      </c>
      <c r="B3" s="129" t="s">
        <v>177</v>
      </c>
      <c r="C3" s="129" t="s">
        <v>176</v>
      </c>
      <c r="D3" s="129" t="s">
        <v>178</v>
      </c>
      <c r="E3" s="129" t="s">
        <v>179</v>
      </c>
    </row>
    <row r="4" spans="1:8" ht="45" x14ac:dyDescent="0.25">
      <c r="A4" s="433">
        <v>1</v>
      </c>
      <c r="B4" s="436" t="s">
        <v>180</v>
      </c>
      <c r="C4" s="240">
        <v>1</v>
      </c>
      <c r="D4" s="130" t="s">
        <v>181</v>
      </c>
      <c r="E4" s="131">
        <v>16</v>
      </c>
    </row>
    <row r="5" spans="1:8" ht="45" x14ac:dyDescent="0.25">
      <c r="A5" s="434"/>
      <c r="B5" s="437"/>
      <c r="C5" s="240">
        <f>C4+1</f>
        <v>2</v>
      </c>
      <c r="D5" s="130" t="s">
        <v>182</v>
      </c>
      <c r="E5" s="131">
        <v>8</v>
      </c>
    </row>
    <row r="6" spans="1:8" ht="30" x14ac:dyDescent="0.25">
      <c r="A6" s="434"/>
      <c r="B6" s="437"/>
      <c r="C6" s="240">
        <f>C5+1</f>
        <v>3</v>
      </c>
      <c r="D6" s="130" t="s">
        <v>183</v>
      </c>
      <c r="E6" s="131">
        <v>4</v>
      </c>
    </row>
    <row r="7" spans="1:8" ht="30" x14ac:dyDescent="0.25">
      <c r="A7" s="434"/>
      <c r="B7" s="437"/>
      <c r="C7" s="240">
        <f>C6+1</f>
        <v>4</v>
      </c>
      <c r="D7" s="130" t="s">
        <v>1142</v>
      </c>
      <c r="E7" s="131">
        <v>16</v>
      </c>
    </row>
    <row r="8" spans="1:8" ht="45" x14ac:dyDescent="0.25">
      <c r="A8" s="434"/>
      <c r="B8" s="437"/>
      <c r="C8" s="240">
        <f>C7+1</f>
        <v>5</v>
      </c>
      <c r="D8" s="130" t="s">
        <v>184</v>
      </c>
      <c r="E8" s="131">
        <f>E4*1.5</f>
        <v>24</v>
      </c>
    </row>
    <row r="9" spans="1:8" ht="30" x14ac:dyDescent="0.25">
      <c r="A9" s="435"/>
      <c r="B9" s="438"/>
      <c r="C9" s="240">
        <f>C8+1</f>
        <v>6</v>
      </c>
      <c r="D9" s="130" t="s">
        <v>185</v>
      </c>
      <c r="E9" s="131">
        <f>E5*1.5</f>
        <v>12</v>
      </c>
    </row>
    <row r="10" spans="1:8" ht="15.75" x14ac:dyDescent="0.25">
      <c r="A10" s="433">
        <v>2</v>
      </c>
      <c r="B10" s="436" t="s">
        <v>186</v>
      </c>
      <c r="C10" s="240">
        <v>1</v>
      </c>
      <c r="D10" s="130" t="s">
        <v>187</v>
      </c>
      <c r="E10" s="131"/>
      <c r="H10" s="132"/>
    </row>
    <row r="11" spans="1:8" ht="30" x14ac:dyDescent="0.25">
      <c r="A11" s="434"/>
      <c r="B11" s="437"/>
      <c r="C11" s="240">
        <f>C10+1</f>
        <v>2</v>
      </c>
      <c r="D11" s="130" t="s">
        <v>188</v>
      </c>
      <c r="E11" s="131"/>
      <c r="H11" s="132"/>
    </row>
    <row r="12" spans="1:8" ht="15.75" x14ac:dyDescent="0.25">
      <c r="A12" s="434"/>
      <c r="B12" s="437"/>
      <c r="C12" s="240">
        <f>C11+1</f>
        <v>3</v>
      </c>
      <c r="D12" s="130" t="s">
        <v>189</v>
      </c>
      <c r="E12" s="131"/>
      <c r="H12" s="132"/>
    </row>
    <row r="13" spans="1:8" ht="45" x14ac:dyDescent="0.25">
      <c r="A13" s="434"/>
      <c r="B13" s="437"/>
      <c r="C13" s="240">
        <f>C12+1</f>
        <v>4</v>
      </c>
      <c r="D13" s="130" t="s">
        <v>190</v>
      </c>
      <c r="E13" s="131"/>
      <c r="H13" s="132"/>
    </row>
    <row r="14" spans="1:8" x14ac:dyDescent="0.25">
      <c r="A14" s="433">
        <v>3</v>
      </c>
      <c r="B14" s="436" t="s">
        <v>191</v>
      </c>
      <c r="C14" s="240">
        <v>1</v>
      </c>
      <c r="D14" s="130" t="s">
        <v>192</v>
      </c>
      <c r="E14" s="131"/>
    </row>
    <row r="15" spans="1:8" x14ac:dyDescent="0.25">
      <c r="A15" s="434"/>
      <c r="B15" s="437"/>
      <c r="C15" s="240">
        <f>C14+1</f>
        <v>2</v>
      </c>
      <c r="D15" s="130" t="s">
        <v>193</v>
      </c>
      <c r="E15" s="131"/>
    </row>
    <row r="16" spans="1:8" ht="30" x14ac:dyDescent="0.25">
      <c r="A16" s="434"/>
      <c r="B16" s="437"/>
      <c r="C16" s="240">
        <f t="shared" ref="C16:C28" si="0">C15+1</f>
        <v>3</v>
      </c>
      <c r="D16" s="130" t="s">
        <v>194</v>
      </c>
      <c r="E16" s="131"/>
    </row>
    <row r="17" spans="1:5" ht="30" x14ac:dyDescent="0.25">
      <c r="A17" s="434"/>
      <c r="B17" s="437"/>
      <c r="C17" s="240">
        <f t="shared" si="0"/>
        <v>4</v>
      </c>
      <c r="D17" s="130" t="s">
        <v>195</v>
      </c>
      <c r="E17" s="131"/>
    </row>
    <row r="18" spans="1:5" ht="30" x14ac:dyDescent="0.25">
      <c r="A18" s="434"/>
      <c r="B18" s="437"/>
      <c r="C18" s="240">
        <f t="shared" si="0"/>
        <v>5</v>
      </c>
      <c r="D18" s="130" t="s">
        <v>196</v>
      </c>
      <c r="E18" s="131"/>
    </row>
    <row r="19" spans="1:5" ht="30" x14ac:dyDescent="0.25">
      <c r="A19" s="434"/>
      <c r="B19" s="437"/>
      <c r="C19" s="240">
        <f t="shared" si="0"/>
        <v>6</v>
      </c>
      <c r="D19" s="130" t="s">
        <v>197</v>
      </c>
      <c r="E19" s="131"/>
    </row>
    <row r="20" spans="1:5" x14ac:dyDescent="0.25">
      <c r="A20" s="434"/>
      <c r="B20" s="437"/>
      <c r="C20" s="240">
        <f t="shared" si="0"/>
        <v>7</v>
      </c>
      <c r="D20" s="130" t="s">
        <v>198</v>
      </c>
      <c r="E20" s="131"/>
    </row>
    <row r="21" spans="1:5" x14ac:dyDescent="0.25">
      <c r="A21" s="434"/>
      <c r="B21" s="437"/>
      <c r="C21" s="240">
        <f t="shared" si="0"/>
        <v>8</v>
      </c>
      <c r="D21" s="130" t="s">
        <v>199</v>
      </c>
      <c r="E21" s="131"/>
    </row>
    <row r="22" spans="1:5" ht="30" x14ac:dyDescent="0.25">
      <c r="A22" s="434"/>
      <c r="B22" s="437"/>
      <c r="C22" s="240">
        <f t="shared" si="0"/>
        <v>9</v>
      </c>
      <c r="D22" s="130" t="s">
        <v>200</v>
      </c>
      <c r="E22" s="131"/>
    </row>
    <row r="23" spans="1:5" x14ac:dyDescent="0.25">
      <c r="A23" s="434"/>
      <c r="B23" s="437"/>
      <c r="C23" s="240">
        <f t="shared" si="0"/>
        <v>10</v>
      </c>
      <c r="D23" s="130" t="s">
        <v>201</v>
      </c>
      <c r="E23" s="131"/>
    </row>
    <row r="24" spans="1:5" x14ac:dyDescent="0.25">
      <c r="A24" s="434"/>
      <c r="B24" s="437"/>
      <c r="C24" s="240">
        <f t="shared" si="0"/>
        <v>11</v>
      </c>
      <c r="D24" s="130" t="s">
        <v>202</v>
      </c>
      <c r="E24" s="131"/>
    </row>
    <row r="25" spans="1:5" ht="30" x14ac:dyDescent="0.25">
      <c r="A25" s="434"/>
      <c r="B25" s="437"/>
      <c r="C25" s="240">
        <f t="shared" si="0"/>
        <v>12</v>
      </c>
      <c r="D25" s="130" t="s">
        <v>203</v>
      </c>
      <c r="E25" s="131"/>
    </row>
    <row r="26" spans="1:5" x14ac:dyDescent="0.25">
      <c r="A26" s="434"/>
      <c r="B26" s="437"/>
      <c r="C26" s="240">
        <f t="shared" si="0"/>
        <v>13</v>
      </c>
      <c r="D26" s="130" t="s">
        <v>204</v>
      </c>
      <c r="E26" s="131"/>
    </row>
    <row r="27" spans="1:5" x14ac:dyDescent="0.25">
      <c r="A27" s="434"/>
      <c r="B27" s="437"/>
      <c r="C27" s="240">
        <f t="shared" si="0"/>
        <v>14</v>
      </c>
      <c r="D27" s="130" t="s">
        <v>205</v>
      </c>
      <c r="E27" s="131"/>
    </row>
    <row r="28" spans="1:5" ht="30" x14ac:dyDescent="0.25">
      <c r="A28" s="435"/>
      <c r="B28" s="438"/>
      <c r="C28" s="240">
        <f t="shared" si="0"/>
        <v>15</v>
      </c>
      <c r="D28" s="130" t="s">
        <v>206</v>
      </c>
      <c r="E28" s="131"/>
    </row>
    <row r="29" spans="1:5" x14ac:dyDescent="0.25">
      <c r="A29" s="433">
        <v>4</v>
      </c>
      <c r="B29" s="436" t="s">
        <v>207</v>
      </c>
      <c r="C29" s="240">
        <v>1</v>
      </c>
      <c r="D29" s="130"/>
      <c r="E29" s="131"/>
    </row>
    <row r="30" spans="1:5" x14ac:dyDescent="0.25">
      <c r="A30" s="434"/>
      <c r="B30" s="437"/>
      <c r="C30" s="240">
        <f>C29+1</f>
        <v>2</v>
      </c>
      <c r="D30" s="130"/>
      <c r="E30" s="131"/>
    </row>
    <row r="31" spans="1:5" x14ac:dyDescent="0.25">
      <c r="A31" s="434"/>
      <c r="B31" s="437"/>
      <c r="C31" s="240">
        <f>C30+1</f>
        <v>3</v>
      </c>
      <c r="D31" s="130"/>
      <c r="E31" s="131"/>
    </row>
    <row r="32" spans="1:5" x14ac:dyDescent="0.25">
      <c r="A32" s="434"/>
      <c r="B32" s="437"/>
      <c r="C32" s="240">
        <f>C31+1</f>
        <v>4</v>
      </c>
      <c r="D32" s="130"/>
      <c r="E32" s="131"/>
    </row>
    <row r="33" spans="1:8" x14ac:dyDescent="0.25">
      <c r="A33" s="435"/>
      <c r="B33" s="438"/>
      <c r="C33" s="240">
        <f>C32+1</f>
        <v>5</v>
      </c>
      <c r="D33" s="130"/>
      <c r="E33" s="131"/>
    </row>
    <row r="34" spans="1:8" x14ac:dyDescent="0.25">
      <c r="A34" s="433">
        <v>5</v>
      </c>
      <c r="B34" s="436" t="s">
        <v>208</v>
      </c>
      <c r="C34" s="240">
        <v>1</v>
      </c>
      <c r="D34" s="130"/>
      <c r="E34" s="131"/>
    </row>
    <row r="35" spans="1:8" x14ac:dyDescent="0.25">
      <c r="A35" s="434"/>
      <c r="B35" s="437"/>
      <c r="C35" s="240">
        <f>C34+1</f>
        <v>2</v>
      </c>
      <c r="D35" s="130"/>
      <c r="E35" s="131"/>
    </row>
    <row r="36" spans="1:8" x14ac:dyDescent="0.25">
      <c r="A36" s="434"/>
      <c r="B36" s="437"/>
      <c r="C36" s="240">
        <f>C35+1</f>
        <v>3</v>
      </c>
      <c r="D36" s="130"/>
      <c r="E36" s="131"/>
    </row>
    <row r="37" spans="1:8" x14ac:dyDescent="0.25">
      <c r="A37" s="434"/>
      <c r="B37" s="437"/>
      <c r="C37" s="240">
        <f>C36+1</f>
        <v>4</v>
      </c>
      <c r="D37" s="130"/>
      <c r="E37" s="131"/>
    </row>
    <row r="38" spans="1:8" x14ac:dyDescent="0.25">
      <c r="A38" s="435"/>
      <c r="B38" s="438"/>
      <c r="C38" s="240">
        <f>C37+1</f>
        <v>5</v>
      </c>
      <c r="D38" s="130"/>
      <c r="E38" s="131"/>
    </row>
    <row r="39" spans="1:8" x14ac:dyDescent="0.25">
      <c r="A39" s="433">
        <v>6</v>
      </c>
      <c r="B39" s="436" t="s">
        <v>209</v>
      </c>
      <c r="C39" s="240">
        <v>1</v>
      </c>
      <c r="D39" s="130"/>
      <c r="E39" s="131"/>
    </row>
    <row r="40" spans="1:8" x14ac:dyDescent="0.25">
      <c r="A40" s="434"/>
      <c r="B40" s="437"/>
      <c r="C40" s="240">
        <f>C39+1</f>
        <v>2</v>
      </c>
      <c r="D40" s="130"/>
      <c r="E40" s="131"/>
    </row>
    <row r="41" spans="1:8" x14ac:dyDescent="0.25">
      <c r="A41" s="434"/>
      <c r="B41" s="437"/>
      <c r="C41" s="240">
        <f>C40+1</f>
        <v>3</v>
      </c>
      <c r="D41" s="130"/>
      <c r="E41" s="131"/>
    </row>
    <row r="42" spans="1:8" x14ac:dyDescent="0.25">
      <c r="A42" s="434"/>
      <c r="B42" s="437"/>
      <c r="C42" s="240">
        <f>C41+1</f>
        <v>4</v>
      </c>
      <c r="D42" s="130"/>
      <c r="E42" s="131"/>
    </row>
    <row r="43" spans="1:8" x14ac:dyDescent="0.25">
      <c r="A43" s="435"/>
      <c r="B43" s="438"/>
      <c r="C43" s="240">
        <f>C42+1</f>
        <v>5</v>
      </c>
      <c r="D43" s="130"/>
      <c r="E43" s="131"/>
    </row>
    <row r="44" spans="1:8" ht="30" x14ac:dyDescent="0.25">
      <c r="A44" s="433">
        <v>7</v>
      </c>
      <c r="B44" s="436" t="s">
        <v>210</v>
      </c>
      <c r="C44" s="240">
        <v>1</v>
      </c>
      <c r="D44" s="130" t="s">
        <v>211</v>
      </c>
      <c r="E44" s="131">
        <v>2</v>
      </c>
      <c r="H44" s="132"/>
    </row>
    <row r="45" spans="1:8" ht="15.75" x14ac:dyDescent="0.25">
      <c r="A45" s="434"/>
      <c r="B45" s="437"/>
      <c r="C45" s="240">
        <f>C44+1</f>
        <v>2</v>
      </c>
      <c r="D45" s="130" t="s">
        <v>212</v>
      </c>
      <c r="E45" s="131">
        <v>1</v>
      </c>
      <c r="H45" s="132"/>
    </row>
    <row r="46" spans="1:8" ht="30" x14ac:dyDescent="0.25">
      <c r="A46" s="434"/>
      <c r="B46" s="437"/>
      <c r="C46" s="240">
        <f t="shared" ref="C46:C51" si="1">C45+1</f>
        <v>3</v>
      </c>
      <c r="D46" s="130" t="s">
        <v>213</v>
      </c>
      <c r="E46" s="131">
        <v>8</v>
      </c>
      <c r="H46" s="132"/>
    </row>
    <row r="47" spans="1:8" ht="30" x14ac:dyDescent="0.25">
      <c r="A47" s="434"/>
      <c r="B47" s="437"/>
      <c r="C47" s="240">
        <f t="shared" si="1"/>
        <v>4</v>
      </c>
      <c r="D47" s="130" t="s">
        <v>214</v>
      </c>
      <c r="E47" s="131">
        <v>16</v>
      </c>
      <c r="H47" s="132"/>
    </row>
    <row r="48" spans="1:8" ht="15.75" x14ac:dyDescent="0.25">
      <c r="A48" s="434"/>
      <c r="B48" s="437"/>
      <c r="C48" s="240">
        <f t="shared" si="1"/>
        <v>5</v>
      </c>
      <c r="D48" s="130" t="s">
        <v>215</v>
      </c>
      <c r="E48" s="131">
        <v>1</v>
      </c>
      <c r="H48" s="132"/>
    </row>
    <row r="49" spans="1:8" ht="15.75" x14ac:dyDescent="0.25">
      <c r="A49" s="434"/>
      <c r="B49" s="437"/>
      <c r="C49" s="240">
        <f t="shared" si="1"/>
        <v>6</v>
      </c>
      <c r="D49" s="130" t="s">
        <v>216</v>
      </c>
      <c r="E49" s="131">
        <v>1</v>
      </c>
      <c r="H49" s="132"/>
    </row>
    <row r="50" spans="1:8" ht="15.75" x14ac:dyDescent="0.25">
      <c r="A50" s="434"/>
      <c r="B50" s="437"/>
      <c r="C50" s="240">
        <f t="shared" si="1"/>
        <v>7</v>
      </c>
      <c r="D50" s="130" t="s">
        <v>217</v>
      </c>
      <c r="E50" s="131">
        <v>1</v>
      </c>
      <c r="H50" s="132"/>
    </row>
    <row r="51" spans="1:8" ht="15.75" x14ac:dyDescent="0.25">
      <c r="A51" s="434"/>
      <c r="B51" s="437"/>
      <c r="C51" s="240">
        <f t="shared" si="1"/>
        <v>8</v>
      </c>
      <c r="D51" s="130" t="s">
        <v>218</v>
      </c>
      <c r="E51" s="131">
        <v>0.5</v>
      </c>
      <c r="H51" s="132"/>
    </row>
    <row r="52" spans="1:8" ht="30" x14ac:dyDescent="0.25">
      <c r="A52" s="433">
        <v>8</v>
      </c>
      <c r="B52" s="436" t="s">
        <v>219</v>
      </c>
      <c r="C52" s="240">
        <v>1</v>
      </c>
      <c r="D52" s="130" t="s">
        <v>220</v>
      </c>
      <c r="E52" s="131"/>
      <c r="H52" s="132"/>
    </row>
    <row r="53" spans="1:8" ht="15.75" x14ac:dyDescent="0.25">
      <c r="A53" s="434"/>
      <c r="B53" s="437"/>
      <c r="C53" s="240">
        <f t="shared" ref="C53:C58" si="2">C52+1</f>
        <v>2</v>
      </c>
      <c r="D53" s="130" t="s">
        <v>212</v>
      </c>
      <c r="E53" s="131"/>
      <c r="H53" s="132"/>
    </row>
    <row r="54" spans="1:8" ht="30" x14ac:dyDescent="0.25">
      <c r="A54" s="434"/>
      <c r="B54" s="437"/>
      <c r="C54" s="240">
        <f t="shared" si="2"/>
        <v>3</v>
      </c>
      <c r="D54" s="130" t="s">
        <v>213</v>
      </c>
      <c r="E54" s="131"/>
      <c r="H54" s="132"/>
    </row>
    <row r="55" spans="1:8" ht="30" x14ac:dyDescent="0.25">
      <c r="A55" s="434"/>
      <c r="B55" s="437"/>
      <c r="C55" s="240">
        <f t="shared" si="2"/>
        <v>4</v>
      </c>
      <c r="D55" s="130" t="s">
        <v>214</v>
      </c>
      <c r="E55" s="131"/>
      <c r="H55" s="132"/>
    </row>
    <row r="56" spans="1:8" ht="15.75" x14ac:dyDescent="0.25">
      <c r="A56" s="434"/>
      <c r="B56" s="437"/>
      <c r="C56" s="240">
        <f t="shared" si="2"/>
        <v>5</v>
      </c>
      <c r="D56" s="130" t="s">
        <v>221</v>
      </c>
      <c r="E56" s="131"/>
      <c r="H56" s="132"/>
    </row>
    <row r="57" spans="1:8" ht="15.75" x14ac:dyDescent="0.25">
      <c r="A57" s="434"/>
      <c r="B57" s="437"/>
      <c r="C57" s="240">
        <f t="shared" si="2"/>
        <v>6</v>
      </c>
      <c r="D57" s="130" t="s">
        <v>222</v>
      </c>
      <c r="E57" s="131"/>
      <c r="H57" s="132"/>
    </row>
    <row r="58" spans="1:8" ht="15.75" x14ac:dyDescent="0.25">
      <c r="A58" s="434"/>
      <c r="B58" s="437"/>
      <c r="C58" s="240">
        <f t="shared" si="2"/>
        <v>7</v>
      </c>
      <c r="D58" s="130" t="s">
        <v>223</v>
      </c>
      <c r="E58" s="131"/>
      <c r="H58" s="132"/>
    </row>
    <row r="59" spans="1:8" ht="30" x14ac:dyDescent="0.25">
      <c r="A59" s="433">
        <v>9</v>
      </c>
      <c r="B59" s="436" t="s">
        <v>224</v>
      </c>
      <c r="C59" s="240">
        <v>1</v>
      </c>
      <c r="D59" s="130" t="s">
        <v>225</v>
      </c>
      <c r="E59" s="131"/>
    </row>
    <row r="60" spans="1:8" ht="30" x14ac:dyDescent="0.25">
      <c r="A60" s="434"/>
      <c r="B60" s="437"/>
      <c r="C60" s="240">
        <f>C59+1</f>
        <v>2</v>
      </c>
      <c r="D60" s="130" t="s">
        <v>226</v>
      </c>
      <c r="E60" s="131"/>
    </row>
    <row r="61" spans="1:8" ht="45" x14ac:dyDescent="0.25">
      <c r="A61" s="433">
        <v>10</v>
      </c>
      <c r="B61" s="436" t="s">
        <v>227</v>
      </c>
      <c r="C61" s="240">
        <v>1</v>
      </c>
      <c r="D61" s="130" t="s">
        <v>228</v>
      </c>
      <c r="E61" s="131"/>
    </row>
    <row r="62" spans="1:8" ht="45" x14ac:dyDescent="0.25">
      <c r="A62" s="434"/>
      <c r="B62" s="437"/>
      <c r="C62" s="240">
        <f>C61+1</f>
        <v>2</v>
      </c>
      <c r="D62" s="130" t="s">
        <v>229</v>
      </c>
      <c r="E62" s="131"/>
    </row>
    <row r="63" spans="1:8" ht="45" x14ac:dyDescent="0.25">
      <c r="A63" s="434"/>
      <c r="B63" s="437"/>
      <c r="C63" s="240">
        <f t="shared" ref="C63:C72" si="3">C62+1</f>
        <v>3</v>
      </c>
      <c r="D63" s="130" t="s">
        <v>230</v>
      </c>
      <c r="E63" s="131"/>
    </row>
    <row r="64" spans="1:8" ht="30" x14ac:dyDescent="0.25">
      <c r="A64" s="434"/>
      <c r="B64" s="437"/>
      <c r="C64" s="240">
        <f t="shared" si="3"/>
        <v>4</v>
      </c>
      <c r="D64" s="130" t="s">
        <v>231</v>
      </c>
      <c r="E64" s="131"/>
    </row>
    <row r="65" spans="1:5" ht="30" x14ac:dyDescent="0.25">
      <c r="A65" s="434"/>
      <c r="B65" s="437"/>
      <c r="C65" s="240">
        <f t="shared" si="3"/>
        <v>5</v>
      </c>
      <c r="D65" s="130" t="s">
        <v>232</v>
      </c>
      <c r="E65" s="131"/>
    </row>
    <row r="66" spans="1:5" ht="30" x14ac:dyDescent="0.25">
      <c r="A66" s="434"/>
      <c r="B66" s="437"/>
      <c r="C66" s="240">
        <f t="shared" si="3"/>
        <v>6</v>
      </c>
      <c r="D66" s="130" t="s">
        <v>233</v>
      </c>
      <c r="E66" s="131"/>
    </row>
    <row r="67" spans="1:5" ht="30" x14ac:dyDescent="0.25">
      <c r="A67" s="434"/>
      <c r="B67" s="437"/>
      <c r="C67" s="240">
        <f t="shared" si="3"/>
        <v>7</v>
      </c>
      <c r="D67" s="130" t="s">
        <v>234</v>
      </c>
      <c r="E67" s="131"/>
    </row>
    <row r="68" spans="1:5" ht="30" x14ac:dyDescent="0.25">
      <c r="A68" s="434"/>
      <c r="B68" s="437"/>
      <c r="C68" s="240">
        <f t="shared" si="3"/>
        <v>8</v>
      </c>
      <c r="D68" s="130" t="s">
        <v>235</v>
      </c>
      <c r="E68" s="131"/>
    </row>
    <row r="69" spans="1:5" ht="30" x14ac:dyDescent="0.25">
      <c r="A69" s="434"/>
      <c r="B69" s="437"/>
      <c r="C69" s="240">
        <f t="shared" si="3"/>
        <v>9</v>
      </c>
      <c r="D69" s="130" t="s">
        <v>236</v>
      </c>
      <c r="E69" s="131"/>
    </row>
    <row r="70" spans="1:5" ht="30" x14ac:dyDescent="0.25">
      <c r="A70" s="434"/>
      <c r="B70" s="437"/>
      <c r="C70" s="240">
        <f t="shared" si="3"/>
        <v>10</v>
      </c>
      <c r="D70" s="130" t="s">
        <v>237</v>
      </c>
      <c r="E70" s="131"/>
    </row>
    <row r="71" spans="1:5" ht="30" x14ac:dyDescent="0.25">
      <c r="A71" s="434"/>
      <c r="B71" s="437"/>
      <c r="C71" s="240">
        <f t="shared" si="3"/>
        <v>11</v>
      </c>
      <c r="D71" s="130" t="s">
        <v>238</v>
      </c>
      <c r="E71" s="131"/>
    </row>
    <row r="72" spans="1:5" ht="30" x14ac:dyDescent="0.25">
      <c r="A72" s="435"/>
      <c r="B72" s="438"/>
      <c r="C72" s="240">
        <f t="shared" si="3"/>
        <v>12</v>
      </c>
      <c r="D72" s="130" t="s">
        <v>239</v>
      </c>
      <c r="E72" s="131"/>
    </row>
    <row r="73" spans="1:5" x14ac:dyDescent="0.25">
      <c r="A73" s="433">
        <v>11</v>
      </c>
      <c r="B73" s="436" t="s">
        <v>240</v>
      </c>
      <c r="C73" s="240">
        <v>1</v>
      </c>
      <c r="D73" s="130"/>
      <c r="E73" s="131"/>
    </row>
    <row r="74" spans="1:5" x14ac:dyDescent="0.25">
      <c r="A74" s="434"/>
      <c r="B74" s="437"/>
      <c r="C74" s="240">
        <f>C73+1</f>
        <v>2</v>
      </c>
      <c r="D74" s="130"/>
      <c r="E74" s="131"/>
    </row>
    <row r="75" spans="1:5" x14ac:dyDescent="0.25">
      <c r="A75" s="434"/>
      <c r="B75" s="437"/>
      <c r="C75" s="240">
        <f>C74+1</f>
        <v>3</v>
      </c>
      <c r="D75" s="130"/>
      <c r="E75" s="131"/>
    </row>
    <row r="76" spans="1:5" x14ac:dyDescent="0.25">
      <c r="A76" s="434"/>
      <c r="B76" s="437"/>
      <c r="C76" s="240">
        <f>C75+1</f>
        <v>4</v>
      </c>
      <c r="D76" s="130"/>
      <c r="E76" s="131"/>
    </row>
    <row r="77" spans="1:5" x14ac:dyDescent="0.25">
      <c r="A77" s="435"/>
      <c r="B77" s="438"/>
      <c r="C77" s="240">
        <f>C76+1</f>
        <v>5</v>
      </c>
      <c r="D77" s="130"/>
      <c r="E77" s="131"/>
    </row>
    <row r="78" spans="1:5" x14ac:dyDescent="0.25">
      <c r="A78" s="433">
        <v>12</v>
      </c>
      <c r="B78" s="436" t="s">
        <v>241</v>
      </c>
      <c r="C78" s="240">
        <v>1</v>
      </c>
      <c r="D78" s="130"/>
      <c r="E78" s="131"/>
    </row>
    <row r="79" spans="1:5" x14ac:dyDescent="0.25">
      <c r="A79" s="434"/>
      <c r="B79" s="437"/>
      <c r="C79" s="240">
        <f>C78+1</f>
        <v>2</v>
      </c>
      <c r="D79" s="130"/>
      <c r="E79" s="131"/>
    </row>
    <row r="80" spans="1:5" x14ac:dyDescent="0.25">
      <c r="A80" s="434"/>
      <c r="B80" s="437"/>
      <c r="C80" s="240">
        <f>C79+1</f>
        <v>3</v>
      </c>
      <c r="D80" s="130"/>
      <c r="E80" s="131"/>
    </row>
    <row r="81" spans="1:5" x14ac:dyDescent="0.25">
      <c r="A81" s="434"/>
      <c r="B81" s="437"/>
      <c r="C81" s="240">
        <f>C80+1</f>
        <v>4</v>
      </c>
      <c r="D81" s="130"/>
      <c r="E81" s="131"/>
    </row>
    <row r="82" spans="1:5" x14ac:dyDescent="0.25">
      <c r="A82" s="435"/>
      <c r="B82" s="438"/>
      <c r="C82" s="240">
        <f>C81+1</f>
        <v>5</v>
      </c>
      <c r="D82" s="130"/>
      <c r="E82" s="131"/>
    </row>
    <row r="83" spans="1:5" x14ac:dyDescent="0.25">
      <c r="A83" s="433">
        <v>13</v>
      </c>
      <c r="B83" s="436" t="s">
        <v>242</v>
      </c>
      <c r="C83" s="240">
        <v>1</v>
      </c>
      <c r="D83" s="130"/>
      <c r="E83" s="131"/>
    </row>
    <row r="84" spans="1:5" x14ac:dyDescent="0.25">
      <c r="A84" s="434"/>
      <c r="B84" s="437"/>
      <c r="C84" s="240">
        <f>C83+1</f>
        <v>2</v>
      </c>
      <c r="D84" s="130"/>
      <c r="E84" s="131"/>
    </row>
    <row r="85" spans="1:5" x14ac:dyDescent="0.25">
      <c r="A85" s="434"/>
      <c r="B85" s="437"/>
      <c r="C85" s="240">
        <f>C84+1</f>
        <v>3</v>
      </c>
      <c r="D85" s="130"/>
      <c r="E85" s="131"/>
    </row>
    <row r="86" spans="1:5" x14ac:dyDescent="0.25">
      <c r="A86" s="434"/>
      <c r="B86" s="437"/>
      <c r="C86" s="240">
        <f>C85+1</f>
        <v>4</v>
      </c>
      <c r="D86" s="130"/>
      <c r="E86" s="131"/>
    </row>
    <row r="87" spans="1:5" x14ac:dyDescent="0.25">
      <c r="A87" s="435"/>
      <c r="B87" s="438"/>
      <c r="C87" s="240">
        <f>C86+1</f>
        <v>5</v>
      </c>
      <c r="D87" s="130"/>
      <c r="E87" s="131"/>
    </row>
    <row r="88" spans="1:5" x14ac:dyDescent="0.25">
      <c r="A88" s="433">
        <v>14</v>
      </c>
      <c r="B88" s="436" t="s">
        <v>243</v>
      </c>
      <c r="C88" s="240">
        <v>1</v>
      </c>
      <c r="D88" s="133" t="s">
        <v>244</v>
      </c>
      <c r="E88" s="131">
        <v>1</v>
      </c>
    </row>
    <row r="89" spans="1:5" ht="45" x14ac:dyDescent="0.25">
      <c r="A89" s="434"/>
      <c r="B89" s="437"/>
      <c r="C89" s="240">
        <f>C88+1</f>
        <v>2</v>
      </c>
      <c r="D89" s="130" t="s">
        <v>245</v>
      </c>
      <c r="E89" s="131">
        <v>3</v>
      </c>
    </row>
    <row r="90" spans="1:5" ht="30" x14ac:dyDescent="0.25">
      <c r="A90" s="434"/>
      <c r="B90" s="437"/>
      <c r="C90" s="240">
        <f>C89+1</f>
        <v>3</v>
      </c>
      <c r="D90" s="130" t="s">
        <v>246</v>
      </c>
      <c r="E90" s="131">
        <v>2</v>
      </c>
    </row>
    <row r="91" spans="1:5" ht="30" x14ac:dyDescent="0.25">
      <c r="A91" s="434"/>
      <c r="B91" s="437"/>
      <c r="C91" s="240">
        <f>C90+1</f>
        <v>4</v>
      </c>
      <c r="D91" s="130" t="s">
        <v>247</v>
      </c>
      <c r="E91" s="131">
        <v>3</v>
      </c>
    </row>
    <row r="92" spans="1:5" x14ac:dyDescent="0.25">
      <c r="A92" s="435"/>
      <c r="B92" s="438"/>
      <c r="C92" s="240">
        <f>C91+1</f>
        <v>5</v>
      </c>
      <c r="D92" s="130" t="s">
        <v>248</v>
      </c>
      <c r="E92" s="131">
        <v>2</v>
      </c>
    </row>
    <row r="93" spans="1:5" x14ac:dyDescent="0.25">
      <c r="A93" s="433">
        <v>15</v>
      </c>
      <c r="B93" s="436" t="s">
        <v>249</v>
      </c>
      <c r="C93" s="240">
        <v>1</v>
      </c>
      <c r="D93" s="130"/>
      <c r="E93" s="131"/>
    </row>
    <row r="94" spans="1:5" x14ac:dyDescent="0.25">
      <c r="A94" s="434"/>
      <c r="B94" s="437"/>
      <c r="C94" s="240">
        <f>C93+1</f>
        <v>2</v>
      </c>
      <c r="D94" s="130"/>
      <c r="E94" s="131"/>
    </row>
    <row r="95" spans="1:5" x14ac:dyDescent="0.25">
      <c r="A95" s="434"/>
      <c r="B95" s="437"/>
      <c r="C95" s="240">
        <f>C94+1</f>
        <v>3</v>
      </c>
      <c r="D95" s="130"/>
      <c r="E95" s="131"/>
    </row>
    <row r="96" spans="1:5" x14ac:dyDescent="0.25">
      <c r="A96" s="434"/>
      <c r="B96" s="437"/>
      <c r="C96" s="240">
        <f>C95+1</f>
        <v>4</v>
      </c>
      <c r="D96" s="130"/>
      <c r="E96" s="131"/>
    </row>
    <row r="97" spans="1:5" x14ac:dyDescent="0.25">
      <c r="A97" s="435"/>
      <c r="B97" s="438"/>
      <c r="C97" s="240">
        <f>C96+1</f>
        <v>5</v>
      </c>
      <c r="D97" s="130"/>
      <c r="E97" s="131"/>
    </row>
    <row r="98" spans="1:5" x14ac:dyDescent="0.25">
      <c r="A98" s="433">
        <v>16</v>
      </c>
      <c r="B98" s="436" t="s">
        <v>250</v>
      </c>
      <c r="C98" s="240">
        <v>1</v>
      </c>
      <c r="D98" s="130"/>
      <c r="E98" s="131"/>
    </row>
    <row r="99" spans="1:5" x14ac:dyDescent="0.25">
      <c r="A99" s="434"/>
      <c r="B99" s="437"/>
      <c r="C99" s="240">
        <f>C98+1</f>
        <v>2</v>
      </c>
      <c r="D99" s="130"/>
      <c r="E99" s="131"/>
    </row>
    <row r="100" spans="1:5" x14ac:dyDescent="0.25">
      <c r="A100" s="434"/>
      <c r="B100" s="437"/>
      <c r="C100" s="240">
        <f>C99+1</f>
        <v>3</v>
      </c>
      <c r="D100" s="130"/>
      <c r="E100" s="131"/>
    </row>
    <row r="101" spans="1:5" x14ac:dyDescent="0.25">
      <c r="A101" s="434"/>
      <c r="B101" s="437"/>
      <c r="C101" s="240">
        <f>C100+1</f>
        <v>4</v>
      </c>
      <c r="D101" s="130"/>
      <c r="E101" s="131"/>
    </row>
    <row r="102" spans="1:5" x14ac:dyDescent="0.25">
      <c r="A102" s="435"/>
      <c r="B102" s="438"/>
      <c r="C102" s="240">
        <f>C101+1</f>
        <v>5</v>
      </c>
      <c r="D102" s="130"/>
      <c r="E102" s="131"/>
    </row>
    <row r="103" spans="1:5" ht="45" x14ac:dyDescent="0.25">
      <c r="A103" s="433">
        <v>17</v>
      </c>
      <c r="B103" s="436" t="s">
        <v>251</v>
      </c>
      <c r="C103" s="240">
        <v>1</v>
      </c>
      <c r="D103" s="133" t="s">
        <v>252</v>
      </c>
      <c r="E103" s="131">
        <v>0.15</v>
      </c>
    </row>
    <row r="104" spans="1:5" x14ac:dyDescent="0.25">
      <c r="A104" s="434"/>
      <c r="B104" s="437"/>
      <c r="C104" s="240">
        <f>C103+1</f>
        <v>2</v>
      </c>
      <c r="D104" s="130"/>
      <c r="E104" s="131"/>
    </row>
    <row r="105" spans="1:5" x14ac:dyDescent="0.25">
      <c r="A105" s="434"/>
      <c r="B105" s="437"/>
      <c r="C105" s="240">
        <f>C104+1</f>
        <v>3</v>
      </c>
      <c r="D105" s="130"/>
      <c r="E105" s="131"/>
    </row>
    <row r="106" spans="1:5" x14ac:dyDescent="0.25">
      <c r="A106" s="434"/>
      <c r="B106" s="437"/>
      <c r="C106" s="240">
        <f>C105+1</f>
        <v>4</v>
      </c>
      <c r="D106" s="130"/>
      <c r="E106" s="131"/>
    </row>
    <row r="107" spans="1:5" x14ac:dyDescent="0.25">
      <c r="A107" s="435"/>
      <c r="B107" s="438"/>
      <c r="C107" s="240">
        <f>C106+1</f>
        <v>5</v>
      </c>
      <c r="D107" s="130"/>
      <c r="E107" s="131"/>
    </row>
    <row r="108" spans="1:5" x14ac:dyDescent="0.25">
      <c r="A108" s="433">
        <v>18</v>
      </c>
      <c r="B108" s="436" t="s">
        <v>253</v>
      </c>
      <c r="C108" s="240">
        <v>1</v>
      </c>
      <c r="D108" s="130"/>
      <c r="E108" s="131"/>
    </row>
    <row r="109" spans="1:5" x14ac:dyDescent="0.25">
      <c r="A109" s="434"/>
      <c r="B109" s="437"/>
      <c r="C109" s="240">
        <f>C108+1</f>
        <v>2</v>
      </c>
      <c r="D109" s="130"/>
      <c r="E109" s="131"/>
    </row>
    <row r="110" spans="1:5" x14ac:dyDescent="0.25">
      <c r="A110" s="434"/>
      <c r="B110" s="437"/>
      <c r="C110" s="240">
        <f>C109+1</f>
        <v>3</v>
      </c>
      <c r="D110" s="130"/>
      <c r="E110" s="131"/>
    </row>
    <row r="111" spans="1:5" x14ac:dyDescent="0.25">
      <c r="A111" s="434"/>
      <c r="B111" s="437"/>
      <c r="C111" s="240">
        <f>C110+1</f>
        <v>4</v>
      </c>
      <c r="D111" s="130"/>
      <c r="E111" s="131"/>
    </row>
    <row r="112" spans="1:5" x14ac:dyDescent="0.25">
      <c r="A112" s="435"/>
      <c r="B112" s="438"/>
      <c r="C112" s="240">
        <f>C111+1</f>
        <v>5</v>
      </c>
      <c r="D112" s="130"/>
      <c r="E112" s="131"/>
    </row>
    <row r="113" spans="1:5" ht="30" x14ac:dyDescent="0.25">
      <c r="A113" s="433">
        <v>19</v>
      </c>
      <c r="B113" s="436" t="s">
        <v>254</v>
      </c>
      <c r="C113" s="240">
        <v>1</v>
      </c>
      <c r="D113" s="130" t="s">
        <v>255</v>
      </c>
      <c r="E113" s="131">
        <v>2</v>
      </c>
    </row>
    <row r="114" spans="1:5" x14ac:dyDescent="0.25">
      <c r="A114" s="434"/>
      <c r="B114" s="437"/>
      <c r="C114" s="240">
        <f>C113+1</f>
        <v>2</v>
      </c>
      <c r="D114" s="130" t="s">
        <v>256</v>
      </c>
      <c r="E114" s="131">
        <v>0.5</v>
      </c>
    </row>
    <row r="115" spans="1:5" x14ac:dyDescent="0.25">
      <c r="A115" s="434"/>
      <c r="B115" s="437"/>
      <c r="C115" s="240">
        <f>C114+1</f>
        <v>3</v>
      </c>
      <c r="D115" s="130"/>
      <c r="E115" s="131"/>
    </row>
    <row r="116" spans="1:5" x14ac:dyDescent="0.25">
      <c r="A116" s="434"/>
      <c r="B116" s="437"/>
      <c r="C116" s="240">
        <f>C115+1</f>
        <v>4</v>
      </c>
      <c r="D116" s="130"/>
      <c r="E116" s="131"/>
    </row>
    <row r="117" spans="1:5" x14ac:dyDescent="0.25">
      <c r="A117" s="435"/>
      <c r="B117" s="438"/>
      <c r="C117" s="240">
        <f>C116+1</f>
        <v>5</v>
      </c>
      <c r="D117" s="130"/>
      <c r="E117" s="131"/>
    </row>
  </sheetData>
  <mergeCells count="38">
    <mergeCell ref="A113:A117"/>
    <mergeCell ref="B113:B117"/>
    <mergeCell ref="A98:A102"/>
    <mergeCell ref="B98:B102"/>
    <mergeCell ref="A103:A107"/>
    <mergeCell ref="B103:B107"/>
    <mergeCell ref="A108:A112"/>
    <mergeCell ref="B108:B112"/>
    <mergeCell ref="A83:A87"/>
    <mergeCell ref="B83:B87"/>
    <mergeCell ref="A88:A92"/>
    <mergeCell ref="B88:B92"/>
    <mergeCell ref="A93:A97"/>
    <mergeCell ref="B93:B97"/>
    <mergeCell ref="A61:A72"/>
    <mergeCell ref="B61:B72"/>
    <mergeCell ref="A73:A77"/>
    <mergeCell ref="B73:B77"/>
    <mergeCell ref="A78:A82"/>
    <mergeCell ref="B78:B82"/>
    <mergeCell ref="A44:A51"/>
    <mergeCell ref="B44:B51"/>
    <mergeCell ref="A52:A58"/>
    <mergeCell ref="B52:B58"/>
    <mergeCell ref="A59:A60"/>
    <mergeCell ref="B59:B60"/>
    <mergeCell ref="A29:A33"/>
    <mergeCell ref="B29:B33"/>
    <mergeCell ref="A34:A38"/>
    <mergeCell ref="B34:B38"/>
    <mergeCell ref="A39:A43"/>
    <mergeCell ref="B39:B43"/>
    <mergeCell ref="A4:A9"/>
    <mergeCell ref="B4:B9"/>
    <mergeCell ref="A10:A13"/>
    <mergeCell ref="B10:B13"/>
    <mergeCell ref="A14:A28"/>
    <mergeCell ref="B14:B2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'В1.Группы действий'!$B$2:$B$20</xm:f>
          </x14:formula1>
          <xm:sqref>B4:B134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G268"/>
  <sheetViews>
    <sheetView workbookViewId="0">
      <selection activeCell="Q194" sqref="Q194"/>
    </sheetView>
  </sheetViews>
  <sheetFormatPr defaultColWidth="8.85546875" defaultRowHeight="15" x14ac:dyDescent="0.25"/>
  <cols>
    <col min="1" max="1" width="4.42578125" style="139" customWidth="1"/>
    <col min="2" max="2" width="29.28515625" style="139" customWidth="1"/>
    <col min="3" max="3" width="31.7109375" style="134" customWidth="1"/>
    <col min="4" max="4" width="43.28515625" style="134" customWidth="1"/>
    <col min="5" max="5" width="27.42578125" style="134" customWidth="1"/>
    <col min="6" max="6" width="21.7109375" style="134" customWidth="1"/>
    <col min="7" max="7" width="29.7109375" style="134" customWidth="1"/>
    <col min="8" max="16384" width="8.85546875" style="134"/>
  </cols>
  <sheetData>
    <row r="1" spans="1:7" ht="15.75" x14ac:dyDescent="0.25">
      <c r="A1" s="128" t="s">
        <v>162</v>
      </c>
      <c r="B1" s="128"/>
    </row>
    <row r="3" spans="1:7" ht="60" x14ac:dyDescent="0.25">
      <c r="A3" s="135" t="s">
        <v>257</v>
      </c>
      <c r="B3" s="136" t="s">
        <v>258</v>
      </c>
      <c r="C3" s="136" t="s">
        <v>259</v>
      </c>
      <c r="D3" s="136" t="s">
        <v>260</v>
      </c>
      <c r="E3" s="136" t="s">
        <v>1141</v>
      </c>
      <c r="F3" s="136" t="s">
        <v>261</v>
      </c>
      <c r="G3" s="135" t="s">
        <v>262</v>
      </c>
    </row>
    <row r="4" spans="1:7" ht="30" x14ac:dyDescent="0.25">
      <c r="A4" s="240">
        <v>1</v>
      </c>
      <c r="B4" s="130" t="str">
        <f>'В2.Расчет стоимости часа'!A6</f>
        <v>В среднем по всем видам экономической деятельности</v>
      </c>
      <c r="C4" s="130"/>
      <c r="D4" s="130"/>
      <c r="E4" s="137">
        <f>'В2.Расчет стоимости часа'!H6</f>
        <v>67723</v>
      </c>
      <c r="F4" s="137">
        <f>'В2.Расчет стоимости часа'!P6</f>
        <v>575.32790287767375</v>
      </c>
      <c r="G4" s="138" t="s">
        <v>263</v>
      </c>
    </row>
    <row r="5" spans="1:7" x14ac:dyDescent="0.25">
      <c r="A5" s="433">
        <v>2</v>
      </c>
      <c r="B5" s="439" t="str">
        <f>'В2.Расчет стоимости часа'!A7</f>
        <v>СЕЛЬСКОЕ, ЛЕСНОЕ ХОЗЯЙСТВО, ОХОТА, РЫБОЛОВСТВО И РЫБОВОДСТВО</v>
      </c>
      <c r="C5" s="439" t="str">
        <f>'В2.Расчет стоимости часа'!B7</f>
        <v xml:space="preserve">    Растениеводство и животноводство, охота и предоставление соответствующих услуг в этих областях</v>
      </c>
      <c r="D5" s="11" t="str">
        <f>'В2.Расчет стоимости часа'!C7</f>
        <v xml:space="preserve">        Выращивание однолетних культур</v>
      </c>
      <c r="E5" s="137">
        <f>'В2.Расчет стоимости часа'!H7</f>
        <v>39428.699999999997</v>
      </c>
      <c r="F5" s="137">
        <f>'В2.Расчет стоимости часа'!P7</f>
        <v>335.03023397114526</v>
      </c>
      <c r="G5" s="138" t="s">
        <v>263</v>
      </c>
    </row>
    <row r="6" spans="1:7" x14ac:dyDescent="0.25">
      <c r="A6" s="434"/>
      <c r="B6" s="440"/>
      <c r="C6" s="440"/>
      <c r="D6" s="11" t="str">
        <f>'В2.Расчет стоимости часа'!C8</f>
        <v xml:space="preserve">        Выращивание многолетних культур</v>
      </c>
      <c r="E6" s="137">
        <f>'В2.Расчет стоимости часа'!H8</f>
        <v>39705.824999999997</v>
      </c>
      <c r="F6" s="137">
        <f>'В2.Расчет стоимости часа'!P8</f>
        <v>337.99204257798573</v>
      </c>
      <c r="G6" s="138" t="s">
        <v>263</v>
      </c>
    </row>
    <row r="7" spans="1:7" x14ac:dyDescent="0.25">
      <c r="A7" s="434"/>
      <c r="B7" s="440"/>
      <c r="C7" s="440"/>
      <c r="D7" s="11" t="str">
        <f>'В2.Расчет стоимости часа'!C9</f>
        <v xml:space="preserve">        Выращивание рассады</v>
      </c>
      <c r="E7" s="137">
        <f>'В2.Расчет стоимости часа'!H9</f>
        <v>44633.375</v>
      </c>
      <c r="F7" s="137">
        <f>'В2.Расчет стоимости часа'!P9</f>
        <v>382.06493682876561</v>
      </c>
      <c r="G7" s="138" t="s">
        <v>263</v>
      </c>
    </row>
    <row r="8" spans="1:7" x14ac:dyDescent="0.25">
      <c r="A8" s="434"/>
      <c r="B8" s="440"/>
      <c r="C8" s="440"/>
      <c r="D8" s="11" t="str">
        <f>'В2.Расчет стоимости часа'!C10</f>
        <v xml:space="preserve">        Животноводство</v>
      </c>
      <c r="E8" s="137">
        <f>'В2.Расчет стоимости часа'!H10</f>
        <v>45893.675000000003</v>
      </c>
      <c r="F8" s="137">
        <f>'В2.Расчет стоимости часа'!P10</f>
        <v>391.20255612800804</v>
      </c>
      <c r="G8" s="138" t="s">
        <v>263</v>
      </c>
    </row>
    <row r="9" spans="1:7" x14ac:dyDescent="0.25">
      <c r="A9" s="434"/>
      <c r="B9" s="440"/>
      <c r="C9" s="440"/>
      <c r="D9" s="11" t="str">
        <f>'В2.Расчет стоимости часа'!C11</f>
        <v xml:space="preserve">        Смешанное сельское хозяйство</v>
      </c>
      <c r="E9" s="137">
        <f>'В2.Расчет стоимости часа'!H11</f>
        <v>38450.6</v>
      </c>
      <c r="F9" s="137">
        <f>'В2.Расчет стоимости часа'!P11</f>
        <v>327.38549731004906</v>
      </c>
      <c r="G9" s="138" t="s">
        <v>263</v>
      </c>
    </row>
    <row r="10" spans="1:7" ht="75" x14ac:dyDescent="0.25">
      <c r="A10" s="434"/>
      <c r="B10" s="440"/>
      <c r="C10" s="440"/>
      <c r="D10" s="11" t="str">
        <f>'В2.Расчет стоимости часа'!C12</f>
        <v xml:space="preserve">        Деятельность вспомогательная в области производства сельскохозяйственных культур и послеуборочной обработки сельхозпродукции</v>
      </c>
      <c r="E10" s="137">
        <f>'В2.Расчет стоимости часа'!H12</f>
        <v>39093.1</v>
      </c>
      <c r="F10" s="137">
        <f>'В2.Расчет стоимости часа'!P12</f>
        <v>331.96263399621211</v>
      </c>
      <c r="G10" s="138" t="s">
        <v>263</v>
      </c>
    </row>
    <row r="11" spans="1:7" ht="45" x14ac:dyDescent="0.25">
      <c r="A11" s="434"/>
      <c r="B11" s="440"/>
      <c r="C11" s="441"/>
      <c r="D11" s="11" t="str">
        <f>'В2.Расчет стоимости часа'!C13</f>
        <v xml:space="preserve">        Охота, отлов и отстрел диких животных, включая предоставление услуг в этих областях</v>
      </c>
      <c r="E11" s="137">
        <f>'В2.Расчет стоимости часа'!H13</f>
        <v>36025.675000000003</v>
      </c>
      <c r="F11" s="137">
        <f>'В2.Расчет стоимости часа'!P13</f>
        <v>306.9635428163993</v>
      </c>
      <c r="G11" s="138" t="s">
        <v>263</v>
      </c>
    </row>
    <row r="12" spans="1:7" ht="30" x14ac:dyDescent="0.25">
      <c r="A12" s="434"/>
      <c r="B12" s="440"/>
      <c r="C12" s="439" t="str">
        <f>'В2.Расчет стоимости часа'!B14</f>
        <v xml:space="preserve">    Лесоводство и лесозаготовки</v>
      </c>
      <c r="D12" s="11" t="str">
        <f>'В2.Расчет стоимости часа'!C14</f>
        <v xml:space="preserve">        Лесоводство и прочая лесохозяйственная деятельность</v>
      </c>
      <c r="E12" s="137">
        <f>'В2.Расчет стоимости часа'!H14</f>
        <v>33896</v>
      </c>
      <c r="F12" s="137">
        <f>'В2.Расчет стоимости часа'!P14</f>
        <v>288.74734509246883</v>
      </c>
      <c r="G12" s="138" t="s">
        <v>263</v>
      </c>
    </row>
    <row r="13" spans="1:7" x14ac:dyDescent="0.25">
      <c r="A13" s="434"/>
      <c r="B13" s="440"/>
      <c r="C13" s="440"/>
      <c r="D13" s="11" t="str">
        <f>'В2.Расчет стоимости часа'!C15</f>
        <v xml:space="preserve">        Лесозаготовки</v>
      </c>
      <c r="E13" s="137">
        <f>'В2.Расчет стоимости часа'!H15</f>
        <v>58024.5</v>
      </c>
      <c r="F13" s="137">
        <f>'В2.Расчет стоимости часа'!P15</f>
        <v>494.23099637979055</v>
      </c>
      <c r="G13" s="138" t="s">
        <v>263</v>
      </c>
    </row>
    <row r="14" spans="1:7" ht="45" x14ac:dyDescent="0.25">
      <c r="A14" s="434"/>
      <c r="B14" s="440"/>
      <c r="C14" s="440"/>
      <c r="D14" s="11" t="str">
        <f>'В2.Расчет стоимости часа'!C16</f>
        <v xml:space="preserve">        Сбор и заготовка пищевых лесных ресурсов, недревесных лесных ресурсов и лекарственных растений</v>
      </c>
      <c r="E14" s="137">
        <f>'В2.Расчет стоимости часа'!H16</f>
        <v>26659.775000000001</v>
      </c>
      <c r="F14" s="137">
        <f>'В2.Расчет стоимости часа'!P16</f>
        <v>226.05561936051694</v>
      </c>
      <c r="G14" s="138" t="s">
        <v>263</v>
      </c>
    </row>
    <row r="15" spans="1:7" ht="30" x14ac:dyDescent="0.25">
      <c r="A15" s="434"/>
      <c r="B15" s="440"/>
      <c r="C15" s="441"/>
      <c r="D15" s="11" t="str">
        <f>'В2.Расчет стоимости часа'!C17</f>
        <v xml:space="preserve">        Предоставление услуг в области лесоводства и лесозаготовок</v>
      </c>
      <c r="E15" s="137">
        <f>'В2.Расчет стоимости часа'!H17</f>
        <v>45397.9</v>
      </c>
      <c r="F15" s="137">
        <f>'В2.Расчет стоимости часа'!P17</f>
        <v>385.97557128732177</v>
      </c>
      <c r="G15" s="138" t="s">
        <v>263</v>
      </c>
    </row>
    <row r="16" spans="1:7" x14ac:dyDescent="0.25">
      <c r="A16" s="434"/>
      <c r="B16" s="440"/>
      <c r="C16" s="439" t="str">
        <f>'В2.Расчет стоимости часа'!B18</f>
        <v xml:space="preserve">    Рыболовство и рыбоводство</v>
      </c>
      <c r="D16" s="11" t="str">
        <f>'В2.Расчет стоимости часа'!C18</f>
        <v xml:space="preserve">        Рыболовство</v>
      </c>
      <c r="E16" s="137">
        <f>'В2.Расчет стоимости часа'!H18</f>
        <v>140604.70000000001</v>
      </c>
      <c r="F16" s="137">
        <f>'В2.Расчет стоимости часа'!P18</f>
        <v>1197.2828805436723</v>
      </c>
      <c r="G16" s="138" t="s">
        <v>263</v>
      </c>
    </row>
    <row r="17" spans="1:7" x14ac:dyDescent="0.25">
      <c r="A17" s="435"/>
      <c r="B17" s="441"/>
      <c r="C17" s="441"/>
      <c r="D17" s="11" t="str">
        <f>'В2.Расчет стоимости часа'!C19</f>
        <v xml:space="preserve">        Рыбоводство</v>
      </c>
      <c r="E17" s="137">
        <f>'В2.Расчет стоимости часа'!H19</f>
        <v>52829.1</v>
      </c>
      <c r="F17" s="137">
        <f>'В2.Расчет стоимости часа'!P19</f>
        <v>452.67340265374338</v>
      </c>
      <c r="G17" s="138" t="s">
        <v>263</v>
      </c>
    </row>
    <row r="18" spans="1:7" x14ac:dyDescent="0.25">
      <c r="A18" s="433">
        <v>3</v>
      </c>
      <c r="B18" s="439" t="str">
        <f>'В2.Расчет стоимости часа'!A20</f>
        <v>ДОБЫЧА ПОЛЕЗНЫХ ИСКОПАЕМЫХ</v>
      </c>
      <c r="C18" s="439" t="str">
        <f>'В2.Расчет стоимости часа'!B20</f>
        <v xml:space="preserve">    Добыча угля</v>
      </c>
      <c r="D18" s="11" t="str">
        <f>'В2.Расчет стоимости часа'!C20</f>
        <v xml:space="preserve">        Добыча и обогащение угля и антрацита</v>
      </c>
      <c r="E18" s="137">
        <f>'В2.Расчет стоимости часа'!H20</f>
        <v>97635.725000000006</v>
      </c>
      <c r="F18" s="137">
        <f>'В2.Расчет стоимости часа'!P20</f>
        <v>831.0531094223486</v>
      </c>
      <c r="G18" s="138" t="s">
        <v>263</v>
      </c>
    </row>
    <row r="19" spans="1:7" ht="30" x14ac:dyDescent="0.25">
      <c r="A19" s="434"/>
      <c r="B19" s="440"/>
      <c r="C19" s="441"/>
      <c r="D19" s="11" t="str">
        <f>'В2.Расчет стоимости часа'!C21</f>
        <v xml:space="preserve">        Добыча и обогащение бурого угля (лигнита)</v>
      </c>
      <c r="E19" s="137">
        <f>'В2.Расчет стоимости часа'!H21</f>
        <v>84838.7</v>
      </c>
      <c r="F19" s="137">
        <f>'В2.Расчет стоимости часа'!P21</f>
        <v>720.61770610127007</v>
      </c>
      <c r="G19" s="138" t="s">
        <v>263</v>
      </c>
    </row>
    <row r="20" spans="1:7" ht="30" x14ac:dyDescent="0.25">
      <c r="A20" s="434"/>
      <c r="B20" s="440"/>
      <c r="C20" s="439" t="str">
        <f>'В2.Расчет стоимости часа'!B22</f>
        <v xml:space="preserve">    Добыча нефти и природного газа</v>
      </c>
      <c r="D20" s="11" t="str">
        <f>'В2.Расчет стоимости часа'!C22</f>
        <v xml:space="preserve">        Добыча нефти и нефтяного (попутного) газа</v>
      </c>
      <c r="E20" s="137">
        <f>'В2.Расчет стоимости часа'!H22</f>
        <v>150724.27499999999</v>
      </c>
      <c r="F20" s="137">
        <f>'В2.Расчет стоимости часа'!P22</f>
        <v>1282.183839469697</v>
      </c>
      <c r="G20" s="138" t="s">
        <v>263</v>
      </c>
    </row>
    <row r="21" spans="1:7" ht="30" x14ac:dyDescent="0.25">
      <c r="A21" s="434"/>
      <c r="B21" s="440"/>
      <c r="C21" s="441"/>
      <c r="D21" s="11" t="str">
        <f>'В2.Расчет стоимости часа'!C23</f>
        <v xml:space="preserve">        Добыча природного газа и газового конденсата</v>
      </c>
      <c r="E21" s="137">
        <f>'В2.Расчет стоимости часа'!H23</f>
        <v>226287.95</v>
      </c>
      <c r="F21" s="137">
        <f>'В2.Расчет стоимости часа'!P23</f>
        <v>1925.75820620488</v>
      </c>
      <c r="G21" s="138" t="s">
        <v>263</v>
      </c>
    </row>
    <row r="22" spans="1:7" x14ac:dyDescent="0.25">
      <c r="A22" s="434"/>
      <c r="B22" s="440"/>
      <c r="C22" s="439" t="str">
        <f>'В2.Расчет стоимости часа'!B24</f>
        <v xml:space="preserve">    Добыча металлических руд</v>
      </c>
      <c r="D22" s="11" t="str">
        <f>'В2.Расчет стоимости часа'!C24</f>
        <v xml:space="preserve">        Добыча и обогащение железных руд</v>
      </c>
      <c r="E22" s="137">
        <f>'В2.Расчет стоимости часа'!H24</f>
        <v>81632.924999999988</v>
      </c>
      <c r="F22" s="137">
        <f>'В2.Расчет стоимости часа'!P24</f>
        <v>695.54538963012487</v>
      </c>
      <c r="G22" s="138" t="s">
        <v>263</v>
      </c>
    </row>
    <row r="23" spans="1:7" x14ac:dyDescent="0.25">
      <c r="A23" s="434"/>
      <c r="B23" s="440"/>
      <c r="C23" s="441"/>
      <c r="D23" s="11" t="str">
        <f>'В2.Расчет стоимости часа'!C25</f>
        <v xml:space="preserve">        Добыча руд цветных металлов</v>
      </c>
      <c r="E23" s="137">
        <f>'В2.Расчет стоимости часа'!H25</f>
        <v>117389.34999999999</v>
      </c>
      <c r="F23" s="137">
        <f>'В2.Расчет стоимости часа'!P25</f>
        <v>996.48565152796346</v>
      </c>
      <c r="G23" s="138" t="s">
        <v>263</v>
      </c>
    </row>
    <row r="24" spans="1:7" x14ac:dyDescent="0.25">
      <c r="A24" s="434"/>
      <c r="B24" s="440"/>
      <c r="C24" s="439" t="str">
        <f>'В2.Расчет стоимости часа'!B26</f>
        <v xml:space="preserve">    Добыча прочих полезных ископаемых</v>
      </c>
      <c r="D24" s="11" t="str">
        <f>'В2.Расчет стоимости часа'!C26</f>
        <v xml:space="preserve">        Добыча камня, песка и глины</v>
      </c>
      <c r="E24" s="137">
        <f>'В2.Расчет стоимости часа'!H26</f>
        <v>55813.850000000006</v>
      </c>
      <c r="F24" s="137">
        <f>'В2.Расчет стоимости часа'!P26</f>
        <v>474.2673343543895</v>
      </c>
      <c r="G24" s="138" t="s">
        <v>263</v>
      </c>
    </row>
    <row r="25" spans="1:7" ht="30" x14ac:dyDescent="0.25">
      <c r="A25" s="434"/>
      <c r="B25" s="440"/>
      <c r="C25" s="441"/>
      <c r="D25" s="11" t="str">
        <f>'В2.Расчет стоимости часа'!C27</f>
        <v xml:space="preserve">        Добыча полезных ископаемых, не включенных в другие группировки</v>
      </c>
      <c r="E25" s="137">
        <f>'В2.Расчет стоимости часа'!H27</f>
        <v>132032.80000000002</v>
      </c>
      <c r="F25" s="137">
        <f>'В2.Расчет стоимости часа'!P27</f>
        <v>1114.1380560071302</v>
      </c>
      <c r="G25" s="138" t="s">
        <v>263</v>
      </c>
    </row>
    <row r="26" spans="1:7" ht="30" x14ac:dyDescent="0.25">
      <c r="A26" s="434"/>
      <c r="B26" s="440"/>
      <c r="C26" s="439" t="str">
        <f>'В2.Расчет стоимости часа'!B28</f>
        <v xml:space="preserve">    Предоставление услуг в области добычи полезных ископаемых</v>
      </c>
      <c r="D26" s="11" t="str">
        <f>'В2.Расчет стоимости часа'!C28</f>
        <v xml:space="preserve">        Предоставление услуг в области добычи нефти и природного газа</v>
      </c>
      <c r="E26" s="137">
        <f>'В2.Расчет стоимости часа'!H28</f>
        <v>117436.95</v>
      </c>
      <c r="F26" s="137">
        <f>'В2.Расчет стоимости часа'!P28</f>
        <v>997.62376104500891</v>
      </c>
      <c r="G26" s="138" t="s">
        <v>263</v>
      </c>
    </row>
    <row r="27" spans="1:7" ht="30" x14ac:dyDescent="0.25">
      <c r="A27" s="435"/>
      <c r="B27" s="441"/>
      <c r="C27" s="441"/>
      <c r="D27" s="11" t="str">
        <f>'В2.Расчет стоимости часа'!C29</f>
        <v xml:space="preserve">        Предоставление услуг в других областях добычи полезных ископаемых</v>
      </c>
      <c r="E27" s="137">
        <f>'В2.Расчет стоимости часа'!H29</f>
        <v>98489.325000000012</v>
      </c>
      <c r="F27" s="137">
        <f>'В2.Расчет стоимости часа'!P29</f>
        <v>836.31973665274063</v>
      </c>
      <c r="G27" s="138" t="s">
        <v>263</v>
      </c>
    </row>
    <row r="28" spans="1:7" ht="30" x14ac:dyDescent="0.25">
      <c r="A28" s="433">
        <v>4</v>
      </c>
      <c r="B28" s="439" t="str">
        <f>'В2.Расчет стоимости часа'!A30</f>
        <v>ОБРАБАТЫВАЮЩИЕ ПРОИЗВОДСТВА</v>
      </c>
      <c r="C28" s="439" t="str">
        <f>'В2.Расчет стоимости часа'!B30</f>
        <v xml:space="preserve">    Производство пищевых продуктов</v>
      </c>
      <c r="D28" s="11" t="str">
        <f>'В2.Расчет стоимости часа'!C30</f>
        <v xml:space="preserve">        Переработка и консервирование мяса и мясной пищевой продукции</v>
      </c>
      <c r="E28" s="137">
        <f>'В2.Расчет стоимости часа'!H30</f>
        <v>49230</v>
      </c>
      <c r="F28" s="137">
        <f>'В2.Расчет стоимости часа'!P30</f>
        <v>419.62427690675133</v>
      </c>
      <c r="G28" s="138" t="s">
        <v>263</v>
      </c>
    </row>
    <row r="29" spans="1:7" ht="30" x14ac:dyDescent="0.25">
      <c r="A29" s="434"/>
      <c r="B29" s="440"/>
      <c r="C29" s="440"/>
      <c r="D29" s="11" t="str">
        <f>'В2.Расчет стоимости часа'!C31</f>
        <v xml:space="preserve">        Переработка и консервирование рыбы, ракообразных и моллюсков</v>
      </c>
      <c r="E29" s="137">
        <f>'В2.Расчет стоимости часа'!H31</f>
        <v>62125.85</v>
      </c>
      <c r="F29" s="137">
        <f>'В2.Расчет стоимости часа'!P31</f>
        <v>529.16495049855166</v>
      </c>
      <c r="G29" s="138" t="s">
        <v>263</v>
      </c>
    </row>
    <row r="30" spans="1:7" ht="30" x14ac:dyDescent="0.25">
      <c r="A30" s="434"/>
      <c r="B30" s="440"/>
      <c r="C30" s="440"/>
      <c r="D30" s="11" t="str">
        <f>'В2.Расчет стоимости часа'!C32</f>
        <v xml:space="preserve">        Переработка и консервирование фруктов и овощей</v>
      </c>
      <c r="E30" s="137">
        <f>'В2.Расчет стоимости часа'!H32</f>
        <v>45274.425000000003</v>
      </c>
      <c r="F30" s="137">
        <f>'В2.Расчет стоимости часа'!P32</f>
        <v>385.45146600211677</v>
      </c>
      <c r="G30" s="138" t="s">
        <v>263</v>
      </c>
    </row>
    <row r="31" spans="1:7" ht="30" x14ac:dyDescent="0.25">
      <c r="A31" s="434"/>
      <c r="B31" s="440"/>
      <c r="C31" s="440"/>
      <c r="D31" s="11" t="str">
        <f>'В2.Расчет стоимости часа'!C33</f>
        <v xml:space="preserve">        Производство растительных и животных масел и жиров</v>
      </c>
      <c r="E31" s="137">
        <f>'В2.Расчет стоимости часа'!H33</f>
        <v>54833.424999999996</v>
      </c>
      <c r="F31" s="137">
        <f>'В2.Расчет стоимости часа'!P33</f>
        <v>466.44977203709885</v>
      </c>
      <c r="G31" s="138" t="s">
        <v>263</v>
      </c>
    </row>
    <row r="32" spans="1:7" x14ac:dyDescent="0.25">
      <c r="A32" s="434"/>
      <c r="B32" s="440"/>
      <c r="C32" s="440"/>
      <c r="D32" s="11" t="str">
        <f>'В2.Расчет стоимости часа'!C34</f>
        <v xml:space="preserve">        Производство молочной продукции</v>
      </c>
      <c r="E32" s="137">
        <f>'В2.Расчет стоимости часа'!H34</f>
        <v>52447.625</v>
      </c>
      <c r="F32" s="137">
        <f>'В2.Расчет стоимости часа'!P34</f>
        <v>445.99331790385475</v>
      </c>
      <c r="G32" s="138" t="s">
        <v>263</v>
      </c>
    </row>
    <row r="33" spans="1:7" ht="45" x14ac:dyDescent="0.25">
      <c r="A33" s="434"/>
      <c r="B33" s="440"/>
      <c r="C33" s="440"/>
      <c r="D33" s="11" t="str">
        <f>'В2.Расчет стоимости часа'!C35</f>
        <v xml:space="preserve">        Производство продуктов мукомольной и крупяной промышленности, крахмала и крахмалосодержащих продуктов</v>
      </c>
      <c r="E33" s="137">
        <f>'В2.Расчет стоимости часа'!H35</f>
        <v>50545.525000000009</v>
      </c>
      <c r="F33" s="137">
        <f>'В2.Расчет стоимости часа'!P35</f>
        <v>430.12659001058375</v>
      </c>
      <c r="G33" s="138" t="s">
        <v>263</v>
      </c>
    </row>
    <row r="34" spans="1:7" ht="30" x14ac:dyDescent="0.25">
      <c r="A34" s="434"/>
      <c r="B34" s="440"/>
      <c r="C34" s="440"/>
      <c r="D34" s="11" t="str">
        <f>'В2.Расчет стоимости часа'!C36</f>
        <v xml:space="preserve">        Производство хлебобулочных и мучных кондитерских изделий</v>
      </c>
      <c r="E34" s="137">
        <f>'В2.Расчет стоимости часа'!H36</f>
        <v>44854.074999999997</v>
      </c>
      <c r="F34" s="137">
        <f>'В2.Расчет стоимости часа'!P36</f>
        <v>382.09532601548574</v>
      </c>
      <c r="G34" s="138" t="s">
        <v>263</v>
      </c>
    </row>
    <row r="35" spans="1:7" ht="30" x14ac:dyDescent="0.25">
      <c r="A35" s="434"/>
      <c r="B35" s="440"/>
      <c r="C35" s="440"/>
      <c r="D35" s="11" t="str">
        <f>'В2.Расчет стоимости часа'!C37</f>
        <v xml:space="preserve">        Производство прочих пищевых продуктов</v>
      </c>
      <c r="E35" s="137">
        <f>'В2.Расчет стоимости часа'!H37</f>
        <v>60977.55</v>
      </c>
      <c r="F35" s="137">
        <f>'В2.Расчет стоимости часа'!P37</f>
        <v>518.03546931818175</v>
      </c>
      <c r="G35" s="138" t="s">
        <v>263</v>
      </c>
    </row>
    <row r="36" spans="1:7" ht="30" x14ac:dyDescent="0.25">
      <c r="A36" s="434"/>
      <c r="B36" s="440"/>
      <c r="C36" s="441"/>
      <c r="D36" s="11" t="str">
        <f>'В2.Расчет стоимости часа'!C38</f>
        <v xml:space="preserve">        Производство готовых кормов для животных</v>
      </c>
      <c r="E36" s="137">
        <f>'В2.Расчет стоимости часа'!H38</f>
        <v>67856.724999999991</v>
      </c>
      <c r="F36" s="137">
        <f>'В2.Расчет стоимости часа'!P38</f>
        <v>572.95871181818188</v>
      </c>
      <c r="G36" s="138" t="s">
        <v>263</v>
      </c>
    </row>
    <row r="37" spans="1:7" x14ac:dyDescent="0.25">
      <c r="A37" s="434"/>
      <c r="B37" s="440"/>
      <c r="C37" s="130" t="str">
        <f>'В2.Расчет стоимости часа'!B39</f>
        <v xml:space="preserve">    Производство напитков</v>
      </c>
      <c r="D37" s="11" t="str">
        <f>'В2.Расчет стоимости часа'!C39</f>
        <v xml:space="preserve">        Производство напитков</v>
      </c>
      <c r="E37" s="137">
        <f>'В2.Расчет стоимости часа'!H39</f>
        <v>63755.325000000004</v>
      </c>
      <c r="F37" s="137">
        <f>'В2.Расчет стоимости часа'!P39</f>
        <v>539.20989125668439</v>
      </c>
      <c r="G37" s="138" t="s">
        <v>263</v>
      </c>
    </row>
    <row r="38" spans="1:7" ht="30" x14ac:dyDescent="0.25">
      <c r="A38" s="434"/>
      <c r="B38" s="440"/>
      <c r="C38" s="130" t="str">
        <f>'В2.Расчет стоимости часа'!B40</f>
        <v xml:space="preserve">    Производство табачных изделий</v>
      </c>
      <c r="D38" s="11" t="str">
        <f>'В2.Расчет стоимости часа'!C40</f>
        <v xml:space="preserve">        Производство табачных изделий</v>
      </c>
      <c r="E38" s="137">
        <f>'В2.Расчет стоимости часа'!H40</f>
        <v>147881.75</v>
      </c>
      <c r="F38" s="137">
        <f>'В2.Расчет стоимости часа'!P40</f>
        <v>1260.6203480871211</v>
      </c>
      <c r="G38" s="138" t="s">
        <v>263</v>
      </c>
    </row>
    <row r="39" spans="1:7" ht="30" x14ac:dyDescent="0.25">
      <c r="A39" s="434"/>
      <c r="B39" s="440"/>
      <c r="C39" s="439" t="str">
        <f>'В2.Расчет стоимости часа'!B41</f>
        <v xml:space="preserve">    Производство текстильных изделий</v>
      </c>
      <c r="D39" s="11" t="str">
        <f>'В2.Расчет стоимости часа'!C41</f>
        <v xml:space="preserve">        Подготовка и прядение текстильных волокон</v>
      </c>
      <c r="E39" s="137">
        <f>'В2.Расчет стоимости часа'!H41</f>
        <v>40419.5</v>
      </c>
      <c r="F39" s="137">
        <f>'В2.Расчет стоимости часа'!P41</f>
        <v>344.3161787901069</v>
      </c>
      <c r="G39" s="138" t="s">
        <v>263</v>
      </c>
    </row>
    <row r="40" spans="1:7" x14ac:dyDescent="0.25">
      <c r="A40" s="434"/>
      <c r="B40" s="440"/>
      <c r="C40" s="440"/>
      <c r="D40" s="11" t="str">
        <f>'В2.Расчет стоимости часа'!C42</f>
        <v xml:space="preserve">        Производство текстильных тканей</v>
      </c>
      <c r="E40" s="137">
        <f>'В2.Расчет стоимости часа'!H42</f>
        <v>43383.399999999994</v>
      </c>
      <c r="F40" s="137">
        <f>'В2.Расчет стоимости часа'!P42</f>
        <v>366.72619101659978</v>
      </c>
      <c r="G40" s="138" t="s">
        <v>263</v>
      </c>
    </row>
    <row r="41" spans="1:7" x14ac:dyDescent="0.25">
      <c r="A41" s="434"/>
      <c r="B41" s="440"/>
      <c r="C41" s="440"/>
      <c r="D41" s="11" t="str">
        <f>'В2.Расчет стоимости часа'!C43</f>
        <v xml:space="preserve">        Отделка тканей и текстильных изделий</v>
      </c>
      <c r="E41" s="137">
        <f>'В2.Расчет стоимости часа'!H43</f>
        <v>41697.075000000004</v>
      </c>
      <c r="F41" s="137">
        <f>'В2.Расчет стоимости часа'!P43</f>
        <v>353.53668152462126</v>
      </c>
      <c r="G41" s="138" t="s">
        <v>263</v>
      </c>
    </row>
    <row r="42" spans="1:7" ht="30" x14ac:dyDescent="0.25">
      <c r="A42" s="434"/>
      <c r="B42" s="440"/>
      <c r="C42" s="441"/>
      <c r="D42" s="11" t="str">
        <f>'В2.Расчет стоимости часа'!C44</f>
        <v xml:space="preserve">        Производство прочих текстильных изделий</v>
      </c>
      <c r="E42" s="137">
        <f>'В2.Расчет стоимости часа'!H44</f>
        <v>39623.15</v>
      </c>
      <c r="F42" s="137">
        <f>'В2.Расчет стоимости часа'!P44</f>
        <v>337.20593638591799</v>
      </c>
      <c r="G42" s="138" t="s">
        <v>263</v>
      </c>
    </row>
    <row r="43" spans="1:7" ht="30" x14ac:dyDescent="0.25">
      <c r="A43" s="434"/>
      <c r="B43" s="440"/>
      <c r="C43" s="439" t="str">
        <f>'В2.Расчет стоимости часа'!B45</f>
        <v xml:space="preserve">    Производство одежды</v>
      </c>
      <c r="D43" s="11" t="str">
        <f>'В2.Расчет стоимости часа'!C45</f>
        <v xml:space="preserve">        Производство одежды, кроме одежды из меха</v>
      </c>
      <c r="E43" s="137">
        <f>'В2.Расчет стоимости часа'!H45</f>
        <v>31442.025000000001</v>
      </c>
      <c r="F43" s="137">
        <f>'В2.Расчет стоимости часа'!P45</f>
        <v>265.51788057208114</v>
      </c>
      <c r="G43" s="138" t="s">
        <v>263</v>
      </c>
    </row>
    <row r="44" spans="1:7" x14ac:dyDescent="0.25">
      <c r="A44" s="434"/>
      <c r="B44" s="440"/>
      <c r="C44" s="440"/>
      <c r="D44" s="11" t="str">
        <f>'В2.Расчет стоимости часа'!C46</f>
        <v xml:space="preserve">        Производство меховых изделий</v>
      </c>
      <c r="E44" s="137">
        <f>'В2.Расчет стоимости часа'!H46</f>
        <v>32279.625</v>
      </c>
      <c r="F44" s="137">
        <f>'В2.Расчет стоимости часа'!P46</f>
        <v>271.02497878453653</v>
      </c>
      <c r="G44" s="138" t="s">
        <v>263</v>
      </c>
    </row>
    <row r="45" spans="1:7" ht="30" x14ac:dyDescent="0.25">
      <c r="A45" s="434"/>
      <c r="B45" s="440"/>
      <c r="C45" s="441"/>
      <c r="D45" s="11" t="str">
        <f>'В2.Расчет стоимости часа'!C47</f>
        <v xml:space="preserve">        Производство вязаных и трикотажных изделий одежды</v>
      </c>
      <c r="E45" s="137">
        <f>'В2.Расчет стоимости часа'!H47</f>
        <v>30832.375</v>
      </c>
      <c r="F45" s="137">
        <f>'В2.Расчет стоимости часа'!P47</f>
        <v>262.08457902629232</v>
      </c>
      <c r="G45" s="138" t="s">
        <v>263</v>
      </c>
    </row>
    <row r="46" spans="1:7" ht="45" x14ac:dyDescent="0.25">
      <c r="A46" s="434"/>
      <c r="B46" s="440"/>
      <c r="C46" s="439" t="str">
        <f>'В2.Расчет стоимости часа'!B48</f>
        <v xml:space="preserve">    Производство кожи и изделий из кожи</v>
      </c>
      <c r="D46" s="11" t="str">
        <f>'В2.Расчет стоимости часа'!C48</f>
        <v xml:space="preserve">        Дубление и отделка кожи, производство чемоданов, сумок, шорно-седельных изделий из кожи; выделка и крашение меха</v>
      </c>
      <c r="E46" s="137">
        <f>'В2.Расчет стоимости часа'!H48</f>
        <v>40126.9</v>
      </c>
      <c r="F46" s="137">
        <f>'В2.Расчет стоимости часа'!P48</f>
        <v>340.81288084336012</v>
      </c>
      <c r="G46" s="138" t="s">
        <v>263</v>
      </c>
    </row>
    <row r="47" spans="1:7" x14ac:dyDescent="0.25">
      <c r="A47" s="434"/>
      <c r="B47" s="440"/>
      <c r="C47" s="440"/>
      <c r="D47" s="11" t="str">
        <f>'В2.Расчет стоимости часа'!C49</f>
        <v xml:space="preserve">        Производство обуви</v>
      </c>
      <c r="E47" s="137">
        <f>'В2.Расчет стоимости часа'!H49</f>
        <v>40270.199999999997</v>
      </c>
      <c r="F47" s="137">
        <f>'В2.Расчет стоимости часа'!P49</f>
        <v>341.58264845365426</v>
      </c>
      <c r="G47" s="138" t="s">
        <v>263</v>
      </c>
    </row>
    <row r="48" spans="1:7" x14ac:dyDescent="0.25">
      <c r="A48" s="434"/>
      <c r="B48" s="440"/>
      <c r="C48" s="441"/>
      <c r="D48" s="11" t="str">
        <f>'В2.Расчет стоимости часа'!C50</f>
        <v xml:space="preserve">        Распиловка и строгание древесины</v>
      </c>
      <c r="E48" s="137">
        <f>'В2.Расчет стоимости часа'!H50</f>
        <v>38522.600000000006</v>
      </c>
      <c r="F48" s="137">
        <f>'В2.Расчет стоимости часа'!P50</f>
        <v>327.6177377161319</v>
      </c>
      <c r="G48" s="138" t="s">
        <v>263</v>
      </c>
    </row>
    <row r="49" spans="1:7" ht="90" x14ac:dyDescent="0.25">
      <c r="A49" s="434"/>
      <c r="B49" s="440"/>
      <c r="C49" s="130" t="str">
        <f>'В2.Расчет стоимости часа'!B51</f>
        <v xml:space="preserve">    Обработка древесины и производство изделий из дерева и пробки, кроме мебели, производство изделий из соломки и материалов для плетения</v>
      </c>
      <c r="D49" s="11" t="str">
        <f>'В2.Расчет стоимости часа'!C51</f>
        <v xml:space="preserve">        Производство изделий из дерева, пробки, соломки и материалов для плетения</v>
      </c>
      <c r="E49" s="137">
        <f>'В2.Расчет стоимости часа'!H51</f>
        <v>42815.275000000001</v>
      </c>
      <c r="F49" s="137">
        <f>'В2.Расчет стоимости часа'!P51</f>
        <v>363.83488371769164</v>
      </c>
      <c r="G49" s="138" t="s">
        <v>263</v>
      </c>
    </row>
    <row r="50" spans="1:7" ht="30" x14ac:dyDescent="0.25">
      <c r="A50" s="434"/>
      <c r="B50" s="440"/>
      <c r="C50" s="439" t="str">
        <f>'В2.Расчет стоимости часа'!B52</f>
        <v xml:space="preserve">    Производство бумаги и бумажных изделий</v>
      </c>
      <c r="D50" s="11" t="str">
        <f>'В2.Расчет стоимости часа'!C52</f>
        <v xml:space="preserve">        Производство целлюлозы, древесной массы, бумаги и картона</v>
      </c>
      <c r="E50" s="137">
        <f>'В2.Расчет стоимости часа'!H52</f>
        <v>78511.274999999994</v>
      </c>
      <c r="F50" s="137">
        <f>'В2.Расчет стоимости часа'!P52</f>
        <v>668.65037493816851</v>
      </c>
      <c r="G50" s="138" t="s">
        <v>263</v>
      </c>
    </row>
    <row r="51" spans="1:7" ht="30" x14ac:dyDescent="0.25">
      <c r="A51" s="434"/>
      <c r="B51" s="440"/>
      <c r="C51" s="441"/>
      <c r="D51" s="11" t="str">
        <f>'В2.Расчет стоимости часа'!C53</f>
        <v xml:space="preserve">        Производство изделий из бумаги и картона</v>
      </c>
      <c r="E51" s="137">
        <f>'В2.Расчет стоимости часа'!H53</f>
        <v>65896.775000000009</v>
      </c>
      <c r="F51" s="137">
        <f>'В2.Расчет стоимости часа'!P53</f>
        <v>562.12084106896168</v>
      </c>
      <c r="G51" s="138" t="s">
        <v>263</v>
      </c>
    </row>
    <row r="52" spans="1:7" ht="30" x14ac:dyDescent="0.25">
      <c r="A52" s="434"/>
      <c r="B52" s="440"/>
      <c r="C52" s="439" t="str">
        <f>'В2.Расчет стоимости часа'!B54</f>
        <v xml:space="preserve">    Деятельность полиграфическая и копирование носителей информации</v>
      </c>
      <c r="D52" s="11" t="str">
        <f>'В2.Расчет стоимости часа'!C54</f>
        <v xml:space="preserve">        Деятельность полиграфическая и предоставление услуг в этой области</v>
      </c>
      <c r="E52" s="137">
        <f>'В2.Расчет стоимости часа'!H54</f>
        <v>52025.450000000004</v>
      </c>
      <c r="F52" s="137">
        <f>'В2.Расчет стоимости часа'!P54</f>
        <v>442.85585824086456</v>
      </c>
      <c r="G52" s="138" t="s">
        <v>263</v>
      </c>
    </row>
    <row r="53" spans="1:7" ht="30" x14ac:dyDescent="0.25">
      <c r="A53" s="434"/>
      <c r="B53" s="440"/>
      <c r="C53" s="441"/>
      <c r="D53" s="11" t="str">
        <f>'В2.Расчет стоимости часа'!C55</f>
        <v xml:space="preserve">        Копирование записанных носителей информации</v>
      </c>
      <c r="E53" s="137">
        <f>'В2.Расчет стоимости часа'!H55</f>
        <v>80966.675000000003</v>
      </c>
      <c r="F53" s="137">
        <f>'В2.Расчет стоимости часа'!P55</f>
        <v>682.75281764538772</v>
      </c>
      <c r="G53" s="138" t="s">
        <v>263</v>
      </c>
    </row>
    <row r="54" spans="1:7" x14ac:dyDescent="0.25">
      <c r="A54" s="434"/>
      <c r="B54" s="440"/>
      <c r="C54" s="439" t="str">
        <f>'В2.Расчет стоимости часа'!B56</f>
        <v xml:space="preserve">    Производство кокса и нефтепродуктов</v>
      </c>
      <c r="D54" s="11" t="str">
        <f>'В2.Расчет стоимости часа'!C56</f>
        <v xml:space="preserve">        Производство кокса</v>
      </c>
      <c r="E54" s="137">
        <f>'В2.Расчет стоимости часа'!H56</f>
        <v>72174.074999999997</v>
      </c>
      <c r="F54" s="137">
        <f>'В2.Расчет стоимости часа'!P56</f>
        <v>615.16131785762036</v>
      </c>
      <c r="G54" s="138" t="s">
        <v>263</v>
      </c>
    </row>
    <row r="55" spans="1:7" x14ac:dyDescent="0.25">
      <c r="A55" s="434"/>
      <c r="B55" s="440"/>
      <c r="C55" s="440"/>
      <c r="D55" s="11" t="str">
        <f>'В2.Расчет стоимости часа'!C57</f>
        <v xml:space="preserve">        Производство нефтепродуктов</v>
      </c>
      <c r="E55" s="137">
        <f>'В2.Расчет стоимости часа'!H57</f>
        <v>105301.425</v>
      </c>
      <c r="F55" s="137">
        <f>'В2.Расчет стоимости часа'!P57</f>
        <v>895.79257828264258</v>
      </c>
      <c r="G55" s="138" t="s">
        <v>263</v>
      </c>
    </row>
    <row r="56" spans="1:7" ht="30" x14ac:dyDescent="0.25">
      <c r="A56" s="434"/>
      <c r="B56" s="440"/>
      <c r="C56" s="441"/>
      <c r="D56" s="11" t="str">
        <f>'В2.Расчет стоимости часа'!C58</f>
        <v xml:space="preserve">        Агломерация угля, антрацита и бурого угля (лигнита) и производство термоуглей</v>
      </c>
      <c r="E56" s="137">
        <f>'В2.Расчет стоимости часа'!H58</f>
        <v>23402.3</v>
      </c>
      <c r="F56" s="137">
        <f>'В2.Расчет стоимости часа'!P58</f>
        <v>199.14174735405524</v>
      </c>
      <c r="G56" s="138" t="s">
        <v>263</v>
      </c>
    </row>
    <row r="57" spans="1:7" ht="60" x14ac:dyDescent="0.25">
      <c r="A57" s="434"/>
      <c r="B57" s="440"/>
      <c r="C57" s="439" t="str">
        <f>'В2.Расчет стоимости часа'!B59</f>
        <v xml:space="preserve">    Производство химических веществ и химических продуктов</v>
      </c>
      <c r="D57" s="11" t="str">
        <f>'В2.Расчет стоимости часа'!C59</f>
        <v xml:space="preserve">        Производство основных химических веществ, удобрений и азотных соединений, пластмасс и синтетического каучука в первичных формах</v>
      </c>
      <c r="E57" s="137">
        <f>'В2.Расчет стоимости часа'!H59</f>
        <v>87921.674999999988</v>
      </c>
      <c r="F57" s="137">
        <f>'В2.Расчет стоимости часа'!P59</f>
        <v>748.39045255180474</v>
      </c>
      <c r="G57" s="138" t="s">
        <v>263</v>
      </c>
    </row>
    <row r="58" spans="1:7" ht="30" x14ac:dyDescent="0.25">
      <c r="A58" s="434"/>
      <c r="B58" s="440"/>
      <c r="C58" s="440"/>
      <c r="D58" s="11" t="str">
        <f>'В2.Расчет стоимости часа'!C60</f>
        <v xml:space="preserve">        Производство пестицидов и прочих агрохимических продуктов</v>
      </c>
      <c r="E58" s="137">
        <f>'В2.Расчет стоимости часа'!H60</f>
        <v>89866.95</v>
      </c>
      <c r="F58" s="137">
        <f>'В2.Расчет стоимости часа'!P60</f>
        <v>765.21487571245552</v>
      </c>
      <c r="G58" s="138" t="s">
        <v>263</v>
      </c>
    </row>
    <row r="59" spans="1:7" ht="45" x14ac:dyDescent="0.25">
      <c r="A59" s="434"/>
      <c r="B59" s="440"/>
      <c r="C59" s="440"/>
      <c r="D59" s="11" t="str">
        <f>'В2.Расчет стоимости часа'!C61</f>
        <v xml:space="preserve">        Производство красок, лаков и аналогичных материалов для нанесения покрытий, полиграфических красок и мастик</v>
      </c>
      <c r="E59" s="137">
        <f>'В2.Расчет стоимости часа'!H61</f>
        <v>69180.2</v>
      </c>
      <c r="F59" s="137">
        <f>'В2.Расчет стоимости часа'!P61</f>
        <v>586.15017663101605</v>
      </c>
      <c r="G59" s="138" t="s">
        <v>263</v>
      </c>
    </row>
    <row r="60" spans="1:7" ht="45" x14ac:dyDescent="0.25">
      <c r="A60" s="434"/>
      <c r="B60" s="440"/>
      <c r="C60" s="440"/>
      <c r="D60" s="11" t="str">
        <f>'В2.Расчет стоимости часа'!C62</f>
        <v xml:space="preserve">        Производство мыла и моющих, чистящих и полирующих средств; парфюмерных и косметических средств</v>
      </c>
      <c r="E60" s="137">
        <f>'В2.Расчет стоимости часа'!H62</f>
        <v>81255.850000000006</v>
      </c>
      <c r="F60" s="137">
        <f>'В2.Расчет стоимости часа'!P62</f>
        <v>689.3222322743984</v>
      </c>
      <c r="G60" s="138" t="s">
        <v>263</v>
      </c>
    </row>
    <row r="61" spans="1:7" ht="30" x14ac:dyDescent="0.25">
      <c r="A61" s="434"/>
      <c r="B61" s="440"/>
      <c r="C61" s="440"/>
      <c r="D61" s="11" t="str">
        <f>'В2.Расчет стоимости часа'!C63</f>
        <v xml:space="preserve">        Производство прочих химических продуктов</v>
      </c>
      <c r="E61" s="137">
        <f>'В2.Расчет стоимости часа'!H63</f>
        <v>72973.774999999994</v>
      </c>
      <c r="F61" s="137">
        <f>'В2.Расчет стоимости часа'!P63</f>
        <v>620.06118390151516</v>
      </c>
      <c r="G61" s="138" t="s">
        <v>263</v>
      </c>
    </row>
    <row r="62" spans="1:7" x14ac:dyDescent="0.25">
      <c r="A62" s="434"/>
      <c r="B62" s="440"/>
      <c r="C62" s="441"/>
      <c r="D62" s="11" t="str">
        <f>'В2.Расчет стоимости часа'!C64</f>
        <v xml:space="preserve">        Производство химических волокон</v>
      </c>
      <c r="E62" s="137">
        <f>'В2.Расчет стоимости часа'!H64</f>
        <v>62472.15</v>
      </c>
      <c r="F62" s="137">
        <f>'В2.Расчет стоимости часа'!P64</f>
        <v>530.49435774844017</v>
      </c>
      <c r="G62" s="138" t="s">
        <v>263</v>
      </c>
    </row>
    <row r="63" spans="1:7" ht="30" x14ac:dyDescent="0.25">
      <c r="A63" s="434"/>
      <c r="B63" s="440"/>
      <c r="C63" s="439" t="str">
        <f>'В2.Расчет стоимости часа'!B65</f>
        <v xml:space="preserve">    Производство лекарственных средств и материалов, применяемых в медицинских целях и ветеринарии</v>
      </c>
      <c r="D63" s="11" t="str">
        <f>'В2.Расчет стоимости часа'!C65</f>
        <v xml:space="preserve">        Производство фармацевтических субстанций</v>
      </c>
      <c r="E63" s="137">
        <f>'В2.Расчет стоимости часа'!H65</f>
        <v>118903.125</v>
      </c>
      <c r="F63" s="137">
        <f>'В2.Расчет стоимости часа'!P65</f>
        <v>990.52679115474598</v>
      </c>
      <c r="G63" s="138" t="s">
        <v>263</v>
      </c>
    </row>
    <row r="64" spans="1:7" ht="45" x14ac:dyDescent="0.25">
      <c r="A64" s="434"/>
      <c r="B64" s="440"/>
      <c r="C64" s="441"/>
      <c r="D64" s="11" t="str">
        <f>'В2.Расчет стоимости часа'!C66</f>
        <v xml:space="preserve">        Производство лекарственных препаратов и материалов, применяемых в медицинских целях и ветеринарии</v>
      </c>
      <c r="E64" s="137">
        <f>'В2.Расчет стоимости часа'!H66</f>
        <v>95049.375</v>
      </c>
      <c r="F64" s="137">
        <f>'В2.Расчет стоимости часа'!P66</f>
        <v>806.63436946356956</v>
      </c>
      <c r="G64" s="138" t="s">
        <v>263</v>
      </c>
    </row>
    <row r="65" spans="1:7" x14ac:dyDescent="0.25">
      <c r="A65" s="434"/>
      <c r="B65" s="440"/>
      <c r="C65" s="439" t="str">
        <f>'В2.Расчет стоимости часа'!B67</f>
        <v xml:space="preserve">    Производство резиновых и пластмассовых изделий</v>
      </c>
      <c r="D65" s="11" t="str">
        <f>'В2.Расчет стоимости часа'!C67</f>
        <v xml:space="preserve">        Производство резиновых изделий</v>
      </c>
      <c r="E65" s="137">
        <f>'В2.Расчет стоимости часа'!H67</f>
        <v>59487.55</v>
      </c>
      <c r="F65" s="137">
        <f>'В2.Расчет стоимости часа'!P67</f>
        <v>505.37330923239745</v>
      </c>
      <c r="G65" s="138" t="s">
        <v>263</v>
      </c>
    </row>
    <row r="66" spans="1:7" x14ac:dyDescent="0.25">
      <c r="A66" s="434"/>
      <c r="B66" s="440"/>
      <c r="C66" s="441"/>
      <c r="D66" s="11" t="str">
        <f>'В2.Расчет стоимости часа'!C68</f>
        <v xml:space="preserve">        Производство изделий из пластмасс</v>
      </c>
      <c r="E66" s="137">
        <f>'В2.Расчет стоимости часа'!H68</f>
        <v>55397.425000000003</v>
      </c>
      <c r="F66" s="137">
        <f>'В2.Расчет стоимости часа'!P68</f>
        <v>468.80008632074424</v>
      </c>
      <c r="G66" s="138" t="s">
        <v>263</v>
      </c>
    </row>
    <row r="67" spans="1:7" x14ac:dyDescent="0.25">
      <c r="A67" s="434"/>
      <c r="B67" s="440"/>
      <c r="C67" s="439" t="str">
        <f>'В2.Расчет стоимости часа'!B69</f>
        <v xml:space="preserve">    Производство прочей неметаллической минеральной продукции</v>
      </c>
      <c r="D67" s="11" t="str">
        <f>'В2.Расчет стоимости часа'!C69</f>
        <v xml:space="preserve">        Производство стекла и изделий из стекла</v>
      </c>
      <c r="E67" s="137">
        <f>'В2.Расчет стоимости часа'!H69</f>
        <v>59685</v>
      </c>
      <c r="F67" s="137">
        <f>'В2.Расчет стоимости часа'!P69</f>
        <v>507.29856823863639</v>
      </c>
      <c r="G67" s="138" t="s">
        <v>263</v>
      </c>
    </row>
    <row r="68" spans="1:7" x14ac:dyDescent="0.25">
      <c r="A68" s="434"/>
      <c r="B68" s="440"/>
      <c r="C68" s="440"/>
      <c r="D68" s="11" t="str">
        <f>'В2.Расчет стоимости часа'!C70</f>
        <v xml:space="preserve">        Производство огнеупорных изделий</v>
      </c>
      <c r="E68" s="137">
        <f>'В2.Расчет стоимости часа'!H70</f>
        <v>61020.675000000003</v>
      </c>
      <c r="F68" s="137">
        <f>'В2.Расчет стоимости часа'!P70</f>
        <v>519.11373738636371</v>
      </c>
      <c r="G68" s="138" t="s">
        <v>263</v>
      </c>
    </row>
    <row r="69" spans="1:7" ht="30" x14ac:dyDescent="0.25">
      <c r="A69" s="434"/>
      <c r="B69" s="440"/>
      <c r="C69" s="440"/>
      <c r="D69" s="11" t="str">
        <f>'В2.Расчет стоимости часа'!C71</f>
        <v xml:space="preserve">        Производство строительных керамических материалов</v>
      </c>
      <c r="E69" s="137">
        <f>'В2.Расчет стоимости часа'!H71</f>
        <v>52183.025000000001</v>
      </c>
      <c r="F69" s="137">
        <f>'В2.Расчет стоимости часа'!P71</f>
        <v>444.07387783868097</v>
      </c>
      <c r="G69" s="138" t="s">
        <v>263</v>
      </c>
    </row>
    <row r="70" spans="1:7" ht="30" x14ac:dyDescent="0.25">
      <c r="A70" s="434"/>
      <c r="B70" s="440"/>
      <c r="C70" s="440"/>
      <c r="D70" s="11" t="str">
        <f>'В2.Расчет стоимости часа'!C72</f>
        <v xml:space="preserve">        Производство прочих фарфоровых и керамических изделий</v>
      </c>
      <c r="E70" s="137">
        <f>'В2.Расчет стоимости часа'!H72</f>
        <v>63594.2</v>
      </c>
      <c r="F70" s="137">
        <f>'В2.Расчет стоимости часа'!P72</f>
        <v>542.74546178865864</v>
      </c>
      <c r="G70" s="138" t="s">
        <v>263</v>
      </c>
    </row>
    <row r="71" spans="1:7" x14ac:dyDescent="0.25">
      <c r="A71" s="434"/>
      <c r="B71" s="440"/>
      <c r="C71" s="440"/>
      <c r="D71" s="11" t="str">
        <f>'В2.Расчет стоимости часа'!C73</f>
        <v xml:space="preserve">        Производство цемента, извести и гипса</v>
      </c>
      <c r="E71" s="137">
        <f>'В2.Расчет стоимости часа'!H73</f>
        <v>71250.875</v>
      </c>
      <c r="F71" s="137">
        <f>'В2.Расчет стоимости часа'!P73</f>
        <v>606.03114923016938</v>
      </c>
      <c r="G71" s="138" t="s">
        <v>263</v>
      </c>
    </row>
    <row r="72" spans="1:7" ht="30" x14ac:dyDescent="0.25">
      <c r="A72" s="434"/>
      <c r="B72" s="440"/>
      <c r="C72" s="440"/>
      <c r="D72" s="11" t="str">
        <f>'В2.Расчет стоимости часа'!C74</f>
        <v xml:space="preserve">        Производство изделий из бетона, цемента и гипса</v>
      </c>
      <c r="E72" s="137">
        <f>'В2.Расчет стоимости часа'!H74</f>
        <v>52336.024999999994</v>
      </c>
      <c r="F72" s="137">
        <f>'В2.Расчет стоимости часа'!P74</f>
        <v>443.48149854166667</v>
      </c>
      <c r="G72" s="138" t="s">
        <v>263</v>
      </c>
    </row>
    <row r="73" spans="1:7" x14ac:dyDescent="0.25">
      <c r="A73" s="434"/>
      <c r="B73" s="440"/>
      <c r="C73" s="440"/>
      <c r="D73" s="11" t="str">
        <f>'В2.Расчет стоимости часа'!C75</f>
        <v xml:space="preserve">        Резка, обработка и отделка камня</v>
      </c>
      <c r="E73" s="137">
        <f>'В2.Расчет стоимости часа'!H75</f>
        <v>44131.025000000001</v>
      </c>
      <c r="F73" s="137">
        <f>'В2.Расчет стоимости часа'!P75</f>
        <v>374.73040959725938</v>
      </c>
      <c r="G73" s="138" t="s">
        <v>263</v>
      </c>
    </row>
    <row r="74" spans="1:7" ht="45" x14ac:dyDescent="0.25">
      <c r="A74" s="434"/>
      <c r="B74" s="440"/>
      <c r="C74" s="441"/>
      <c r="D74" s="11" t="str">
        <f>'В2.Расчет стоимости часа'!C76</f>
        <v xml:space="preserve">        Производство абразивных и неметаллических минеральных изделий, не включенных в другие группировки</v>
      </c>
      <c r="E74" s="137">
        <f>'В2.Расчет стоимости часа'!H76</f>
        <v>64378.974999999999</v>
      </c>
      <c r="F74" s="137">
        <f>'В2.Расчет стоимости часа'!P76</f>
        <v>545.61878088513822</v>
      </c>
      <c r="G74" s="138" t="s">
        <v>263</v>
      </c>
    </row>
    <row r="75" spans="1:7" ht="30" x14ac:dyDescent="0.25">
      <c r="A75" s="434"/>
      <c r="B75" s="440"/>
      <c r="C75" s="439" t="str">
        <f>'В2.Расчет стоимости часа'!B77</f>
        <v xml:space="preserve">    Производство металлургическое</v>
      </c>
      <c r="D75" s="11" t="str">
        <f>'В2.Расчет стоимости часа'!C77</f>
        <v xml:space="preserve">        Производство чугуна, стали и ферросплавов</v>
      </c>
      <c r="E75" s="137">
        <f>'В2.Расчет стоимости часа'!H77</f>
        <v>77222.925000000003</v>
      </c>
      <c r="F75" s="137">
        <f>'В2.Расчет стоимости часа'!P77</f>
        <v>655.30838208946091</v>
      </c>
      <c r="G75" s="138" t="s">
        <v>263</v>
      </c>
    </row>
    <row r="76" spans="1:7" ht="30" x14ac:dyDescent="0.25">
      <c r="A76" s="434"/>
      <c r="B76" s="440"/>
      <c r="C76" s="440"/>
      <c r="D76" s="11" t="str">
        <f>'В2.Расчет стоимости часа'!C78</f>
        <v xml:space="preserve">        Производство стальных труб, полых профилей и фитингов</v>
      </c>
      <c r="E76" s="137">
        <f>'В2.Расчет стоимости часа'!H78</f>
        <v>75056.600000000006</v>
      </c>
      <c r="F76" s="137">
        <f>'В2.Расчет стоимости часа'!P78</f>
        <v>642.59431679311501</v>
      </c>
      <c r="G76" s="138" t="s">
        <v>263</v>
      </c>
    </row>
    <row r="77" spans="1:7" ht="30" x14ac:dyDescent="0.25">
      <c r="A77" s="434"/>
      <c r="B77" s="440"/>
      <c r="C77" s="440"/>
      <c r="D77" s="11" t="str">
        <f>'В2.Расчет стоимости часа'!C79</f>
        <v xml:space="preserve">        Производство прочих стальных изделий первичной обработкой</v>
      </c>
      <c r="E77" s="137">
        <f>'В2.Расчет стоимости часа'!H79</f>
        <v>60018.85</v>
      </c>
      <c r="F77" s="137">
        <f>'В2.Расчет стоимости часа'!P79</f>
        <v>511.000479932041</v>
      </c>
      <c r="G77" s="138" t="s">
        <v>263</v>
      </c>
    </row>
    <row r="78" spans="1:7" ht="45" x14ac:dyDescent="0.25">
      <c r="A78" s="434"/>
      <c r="B78" s="440"/>
      <c r="C78" s="440"/>
      <c r="D78" s="11" t="str">
        <f>'В2.Расчет стоимости часа'!C80</f>
        <v xml:space="preserve">        Производство основных драгоценных металлов и прочих цветных металлов, производство ядерного топлива</v>
      </c>
      <c r="E78" s="137">
        <f>'В2.Расчет стоимости часа'!H80</f>
        <v>100973.35</v>
      </c>
      <c r="F78" s="137">
        <f>'В2.Расчет стоимости часа'!P80</f>
        <v>857.61123802083341</v>
      </c>
      <c r="G78" s="138" t="s">
        <v>263</v>
      </c>
    </row>
    <row r="79" spans="1:7" x14ac:dyDescent="0.25">
      <c r="A79" s="434"/>
      <c r="B79" s="440"/>
      <c r="C79" s="441"/>
      <c r="D79" s="11" t="str">
        <f>'В2.Расчет стоимости часа'!C81</f>
        <v xml:space="preserve">        Литье металлов</v>
      </c>
      <c r="E79" s="137">
        <f>'В2.Расчет стоимости часа'!H81</f>
        <v>57595.7</v>
      </c>
      <c r="F79" s="137">
        <f>'В2.Расчет стоимости часа'!P81</f>
        <v>489.39559439728163</v>
      </c>
      <c r="G79" s="138" t="s">
        <v>263</v>
      </c>
    </row>
    <row r="80" spans="1:7" ht="30" x14ac:dyDescent="0.25">
      <c r="A80" s="434"/>
      <c r="B80" s="440"/>
      <c r="C80" s="439" t="str">
        <f>'В2.Расчет стоимости часа'!B82</f>
        <v xml:space="preserve">    Производство готовых металлических изделий, кроме машин и оборудования</v>
      </c>
      <c r="D80" s="11" t="str">
        <f>'В2.Расчет стоимости часа'!C82</f>
        <v xml:space="preserve">        Производство строительных металлических конструкций и изделий</v>
      </c>
      <c r="E80" s="137">
        <f>'В2.Расчет стоимости часа'!H82</f>
        <v>52988.075000000004</v>
      </c>
      <c r="F80" s="137">
        <f>'В2.Расчет стоимости часа'!P82</f>
        <v>450.09400444852935</v>
      </c>
      <c r="G80" s="138" t="s">
        <v>263</v>
      </c>
    </row>
    <row r="81" spans="1:7" ht="30" x14ac:dyDescent="0.25">
      <c r="A81" s="434"/>
      <c r="B81" s="440"/>
      <c r="C81" s="440"/>
      <c r="D81" s="11" t="str">
        <f>'В2.Расчет стоимости часа'!C83</f>
        <v xml:space="preserve">        Производство металлических цистерн, резервуаров и прочих емкостей</v>
      </c>
      <c r="E81" s="137">
        <f>'В2.Расчет стоимости часа'!H83</f>
        <v>53792.024999999994</v>
      </c>
      <c r="F81" s="137">
        <f>'В2.Расчет стоимости часа'!P83</f>
        <v>456.89896416443861</v>
      </c>
      <c r="G81" s="138" t="s">
        <v>263</v>
      </c>
    </row>
    <row r="82" spans="1:7" ht="30" x14ac:dyDescent="0.25">
      <c r="A82" s="434"/>
      <c r="B82" s="440"/>
      <c r="C82" s="440"/>
      <c r="D82" s="11" t="str">
        <f>'В2.Расчет стоимости часа'!C84</f>
        <v xml:space="preserve">        Производство паровых котлов, кроме котлов центрального отопления</v>
      </c>
      <c r="E82" s="137">
        <f>'В2.Расчет стоимости часа'!H84</f>
        <v>89071.75</v>
      </c>
      <c r="F82" s="137">
        <f>'В2.Расчет стоимости часа'!P84</f>
        <v>763.07510691176469</v>
      </c>
      <c r="G82" s="138" t="s">
        <v>263</v>
      </c>
    </row>
    <row r="83" spans="1:7" ht="45" x14ac:dyDescent="0.25">
      <c r="A83" s="434"/>
      <c r="B83" s="440"/>
      <c r="C83" s="440"/>
      <c r="D83" s="11" t="str">
        <f>'В2.Расчет стоимости часа'!C85</f>
        <v xml:space="preserve">        Ковка, прессование, штамповка и профилирование; изготовление изделий методом порошковой металлургии</v>
      </c>
      <c r="E83" s="137">
        <f>'В2.Расчет стоимости часа'!H85</f>
        <v>61116.724999999991</v>
      </c>
      <c r="F83" s="137">
        <f>'В2.Расчет стоимости часа'!P85</f>
        <v>519.48198960171578</v>
      </c>
      <c r="G83" s="138" t="s">
        <v>263</v>
      </c>
    </row>
    <row r="84" spans="1:7" ht="45" x14ac:dyDescent="0.25">
      <c r="A84" s="434"/>
      <c r="B84" s="440"/>
      <c r="C84" s="440"/>
      <c r="D84" s="11" t="str">
        <f>'В2.Расчет стоимости часа'!C86</f>
        <v xml:space="preserve">        Обработка металлов и нанесение покрытий на металлы; механическая обработка металлов</v>
      </c>
      <c r="E84" s="137">
        <f>'В2.Расчет стоимости часа'!H86</f>
        <v>57476.324999999997</v>
      </c>
      <c r="F84" s="137">
        <f>'В2.Расчет стоимости часа'!P86</f>
        <v>489.49233829656856</v>
      </c>
      <c r="G84" s="138" t="s">
        <v>263</v>
      </c>
    </row>
    <row r="85" spans="1:7" ht="45" x14ac:dyDescent="0.25">
      <c r="A85" s="434"/>
      <c r="B85" s="440"/>
      <c r="C85" s="441"/>
      <c r="D85" s="11" t="str">
        <f>'В2.Расчет стоимости часа'!C87</f>
        <v xml:space="preserve">        Производство ножевых изделий и столовых приборов, инструментов и универсальных скобяных изделий</v>
      </c>
      <c r="E85" s="137">
        <f>'В2.Расчет стоимости часа'!H87</f>
        <v>52616.125</v>
      </c>
      <c r="F85" s="137">
        <f>'В2.Расчет стоимости часа'!P87</f>
        <v>447.55590260528078</v>
      </c>
      <c r="G85" s="138" t="s">
        <v>263</v>
      </c>
    </row>
    <row r="86" spans="1:7" ht="30" x14ac:dyDescent="0.25">
      <c r="A86" s="434"/>
      <c r="B86" s="440"/>
      <c r="C86" s="439" t="str">
        <f>'В2.Расчет стоимости часа'!B88</f>
        <v xml:space="preserve">    Производство компьютеров, электронных и оптических изделий</v>
      </c>
      <c r="D86" s="11" t="str">
        <f>'В2.Расчет стоимости часа'!C88</f>
        <v xml:space="preserve">        Производство элементов электронной аппаратуры и печатных схем (плат)</v>
      </c>
      <c r="E86" s="137">
        <f>'В2.Расчет стоимости часа'!H88</f>
        <v>78572.45</v>
      </c>
      <c r="F86" s="137">
        <f>'В2.Расчет стоимости часа'!P88</f>
        <v>666.52880031584232</v>
      </c>
      <c r="G86" s="138" t="s">
        <v>263</v>
      </c>
    </row>
    <row r="87" spans="1:7" ht="30" x14ac:dyDescent="0.25">
      <c r="A87" s="434"/>
      <c r="B87" s="440"/>
      <c r="C87" s="440"/>
      <c r="D87" s="11" t="str">
        <f>'В2.Расчет стоимости часа'!C89</f>
        <v xml:space="preserve">        Производство компьютеров и периферийного оборудования</v>
      </c>
      <c r="E87" s="137">
        <f>'В2.Расчет стоимости часа'!H89</f>
        <v>157378.92499999999</v>
      </c>
      <c r="F87" s="137">
        <f>'В2.Расчет стоимости часа'!P89</f>
        <v>1325.483297828654</v>
      </c>
      <c r="G87" s="138" t="s">
        <v>263</v>
      </c>
    </row>
    <row r="88" spans="1:7" ht="30" x14ac:dyDescent="0.25">
      <c r="A88" s="434"/>
      <c r="B88" s="440"/>
      <c r="C88" s="440"/>
      <c r="D88" s="11" t="str">
        <f>'В2.Расчет стоимости часа'!C90</f>
        <v xml:space="preserve">        Производство коммуникационного оборудования</v>
      </c>
      <c r="E88" s="137">
        <f>'В2.Расчет стоимости часа'!H90</f>
        <v>77883.850000000006</v>
      </c>
      <c r="F88" s="137">
        <f>'В2.Расчет стоимости часа'!P90</f>
        <v>664.76809251114094</v>
      </c>
      <c r="G88" s="138" t="s">
        <v>263</v>
      </c>
    </row>
    <row r="89" spans="1:7" x14ac:dyDescent="0.25">
      <c r="A89" s="434"/>
      <c r="B89" s="440"/>
      <c r="C89" s="440"/>
      <c r="D89" s="11" t="str">
        <f>'В2.Расчет стоимости часа'!C91</f>
        <v xml:space="preserve">        Производство бытовой электроники</v>
      </c>
      <c r="E89" s="137">
        <f>'В2.Расчет стоимости часа'!H91</f>
        <v>67673.625</v>
      </c>
      <c r="F89" s="137">
        <f>'В2.Расчет стоимости часа'!P91</f>
        <v>577.71810831773621</v>
      </c>
      <c r="G89" s="138" t="s">
        <v>263</v>
      </c>
    </row>
    <row r="90" spans="1:7" ht="45" x14ac:dyDescent="0.25">
      <c r="A90" s="434"/>
      <c r="B90" s="440"/>
      <c r="C90" s="440"/>
      <c r="D90" s="11" t="str">
        <f>'В2.Расчет стоимости часа'!C92</f>
        <v xml:space="preserve">        Производство контрольно-измерительных и навигационных приборов и аппаратов; производство часов</v>
      </c>
      <c r="E90" s="137">
        <f>'В2.Расчет стоимости часа'!H92</f>
        <v>78233.8</v>
      </c>
      <c r="F90" s="137">
        <f>'В2.Расчет стоимости часа'!P92</f>
        <v>666.42000138480398</v>
      </c>
      <c r="G90" s="138" t="s">
        <v>263</v>
      </c>
    </row>
    <row r="91" spans="1:7" ht="45" x14ac:dyDescent="0.25">
      <c r="A91" s="434"/>
      <c r="B91" s="440"/>
      <c r="C91" s="440"/>
      <c r="D91" s="11" t="str">
        <f>'В2.Расчет стоимости часа'!C93</f>
        <v xml:space="preserve">        Производство облучающего и электротерапевтического оборудования, применяемого в медицинских целях</v>
      </c>
      <c r="E91" s="137">
        <f>'В2.Расчет стоимости часа'!H93</f>
        <v>79859.275000000009</v>
      </c>
      <c r="F91" s="137">
        <f>'В2.Расчет стоимости часа'!P93</f>
        <v>678.61199456216593</v>
      </c>
      <c r="G91" s="138" t="s">
        <v>263</v>
      </c>
    </row>
    <row r="92" spans="1:7" ht="30" x14ac:dyDescent="0.25">
      <c r="A92" s="434"/>
      <c r="B92" s="440"/>
      <c r="C92" s="440"/>
      <c r="D92" s="11" t="str">
        <f>'В2.Расчет стоимости часа'!C94</f>
        <v xml:space="preserve">        Производство оптических приборов, фото- и кинооборудования</v>
      </c>
      <c r="E92" s="137">
        <f>'В2.Расчет стоимости часа'!H94</f>
        <v>79507.75</v>
      </c>
      <c r="F92" s="137">
        <f>'В2.Расчет стоимости часа'!P94</f>
        <v>676.29582199866309</v>
      </c>
      <c r="G92" s="138" t="s">
        <v>263</v>
      </c>
    </row>
    <row r="93" spans="1:7" ht="45" x14ac:dyDescent="0.25">
      <c r="A93" s="434"/>
      <c r="B93" s="440"/>
      <c r="C93" s="441"/>
      <c r="D93" s="11" t="str">
        <f>'В2.Расчет стоимости часа'!C95</f>
        <v xml:space="preserve">        Производство незаписанных магнитных и оптических технических носителей информации</v>
      </c>
      <c r="E93" s="137">
        <f>'В2.Расчет стоимости часа'!H95</f>
        <v>105604.925</v>
      </c>
      <c r="F93" s="137">
        <f>'В2.Расчет стоимости часа'!P95</f>
        <v>893.52394747938956</v>
      </c>
      <c r="G93" s="138" t="s">
        <v>263</v>
      </c>
    </row>
    <row r="94" spans="1:7" ht="60" x14ac:dyDescent="0.25">
      <c r="A94" s="434"/>
      <c r="B94" s="440"/>
      <c r="C94" s="439" t="str">
        <f>'В2.Расчет стоимости часа'!B96</f>
        <v xml:space="preserve">    Производство электрического оборудования</v>
      </c>
      <c r="D94" s="11" t="str">
        <f>'В2.Расчет стоимости часа'!C96</f>
        <v xml:space="preserve">        Производство электродвигателей, генераторов, трансформаторов и распределительных устройств, а также контрольно-измерительной аппаратуры</v>
      </c>
      <c r="E94" s="137">
        <f>'В2.Расчет стоимости часа'!H96</f>
        <v>66987.95</v>
      </c>
      <c r="F94" s="137">
        <f>'В2.Расчет стоимости часа'!P96</f>
        <v>569.17776096925138</v>
      </c>
      <c r="G94" s="138" t="s">
        <v>263</v>
      </c>
    </row>
    <row r="95" spans="1:7" ht="30" x14ac:dyDescent="0.25">
      <c r="A95" s="434"/>
      <c r="B95" s="440"/>
      <c r="C95" s="440"/>
      <c r="D95" s="11" t="str">
        <f>'В2.Расчет стоимости часа'!C97</f>
        <v xml:space="preserve">        Производство электрических аккумуляторов и аккумуляторных батарей</v>
      </c>
      <c r="E95" s="137">
        <f>'В2.Расчет стоимости часа'!H97</f>
        <v>67723.899999999994</v>
      </c>
      <c r="F95" s="137">
        <f>'В2.Расчет стоимости часа'!P97</f>
        <v>575.71826547348485</v>
      </c>
      <c r="G95" s="138" t="s">
        <v>263</v>
      </c>
    </row>
    <row r="96" spans="1:7" ht="30" x14ac:dyDescent="0.25">
      <c r="A96" s="434"/>
      <c r="B96" s="440"/>
      <c r="C96" s="440"/>
      <c r="D96" s="11" t="str">
        <f>'В2.Расчет стоимости часа'!C98</f>
        <v xml:space="preserve">        Производство кабелей и кабельной арматуры</v>
      </c>
      <c r="E96" s="137">
        <f>'В2.Расчет стоимости часа'!H98</f>
        <v>68889.899999999994</v>
      </c>
      <c r="F96" s="137">
        <f>'В2.Расчет стоимости часа'!P98</f>
        <v>584.59225273952768</v>
      </c>
      <c r="G96" s="138" t="s">
        <v>263</v>
      </c>
    </row>
    <row r="97" spans="1:7" ht="30" x14ac:dyDescent="0.25">
      <c r="A97" s="434"/>
      <c r="B97" s="440"/>
      <c r="C97" s="440"/>
      <c r="D97" s="11" t="str">
        <f>'В2.Расчет стоимости часа'!C99</f>
        <v xml:space="preserve">        Производство электрических ламп и осветительного оборудования</v>
      </c>
      <c r="E97" s="137">
        <f>'В2.Расчет стоимости часа'!H99</f>
        <v>57356.725000000006</v>
      </c>
      <c r="F97" s="137">
        <f>'В2.Расчет стоимости часа'!P99</f>
        <v>485.60400049131016</v>
      </c>
      <c r="G97" s="138" t="s">
        <v>263</v>
      </c>
    </row>
    <row r="98" spans="1:7" x14ac:dyDescent="0.25">
      <c r="A98" s="434"/>
      <c r="B98" s="440"/>
      <c r="C98" s="440"/>
      <c r="D98" s="11" t="str">
        <f>'В2.Расчет стоимости часа'!C100</f>
        <v xml:space="preserve">        Производство бытовых приборов</v>
      </c>
      <c r="E98" s="137">
        <f>'В2.Расчет стоимости часа'!H100</f>
        <v>57581.775000000001</v>
      </c>
      <c r="F98" s="137">
        <f>'В2.Расчет стоимости часа'!P100</f>
        <v>490.76382363859182</v>
      </c>
      <c r="G98" s="138" t="s">
        <v>263</v>
      </c>
    </row>
    <row r="99" spans="1:7" ht="30" x14ac:dyDescent="0.25">
      <c r="A99" s="434"/>
      <c r="B99" s="440"/>
      <c r="C99" s="441"/>
      <c r="D99" s="11" t="str">
        <f>'В2.Расчет стоимости часа'!C101</f>
        <v xml:space="preserve">        Производство прочего электрического оборудования</v>
      </c>
      <c r="E99" s="137">
        <f>'В2.Расчет стоимости часа'!H101</f>
        <v>73507.125</v>
      </c>
      <c r="F99" s="137">
        <f>'В2.Расчет стоимости часа'!P101</f>
        <v>624.28829615474604</v>
      </c>
      <c r="G99" s="138" t="s">
        <v>263</v>
      </c>
    </row>
    <row r="100" spans="1:7" ht="30" x14ac:dyDescent="0.25">
      <c r="A100" s="434"/>
      <c r="B100" s="440"/>
      <c r="C100" s="439" t="str">
        <f>'В2.Расчет стоимости часа'!B102</f>
        <v xml:space="preserve">    Производство машин и оборудования, не включенных в другие группировки</v>
      </c>
      <c r="D100" s="11" t="str">
        <f>'В2.Расчет стоимости часа'!C102</f>
        <v xml:space="preserve">        Производство машин и оборудования общего назначения</v>
      </c>
      <c r="E100" s="137">
        <f>'В2.Расчет стоимости часа'!H102</f>
        <v>71585.175000000003</v>
      </c>
      <c r="F100" s="137">
        <f>'В2.Расчет стоимости часа'!P102</f>
        <v>608.81931843081554</v>
      </c>
      <c r="G100" s="138" t="s">
        <v>263</v>
      </c>
    </row>
    <row r="101" spans="1:7" ht="30" x14ac:dyDescent="0.25">
      <c r="A101" s="434"/>
      <c r="B101" s="440"/>
      <c r="C101" s="440"/>
      <c r="D101" s="11" t="str">
        <f>'В2.Расчет стоимости часа'!C103</f>
        <v xml:space="preserve">        Производство прочих машин и оборудования общего назначения</v>
      </c>
      <c r="E101" s="137">
        <f>'В2.Расчет стоимости часа'!H103</f>
        <v>64970.3</v>
      </c>
      <c r="F101" s="137">
        <f>'В2.Расчет стоимости часа'!P103</f>
        <v>552.09041520777635</v>
      </c>
      <c r="G101" s="138" t="s">
        <v>263</v>
      </c>
    </row>
    <row r="102" spans="1:7" ht="30" x14ac:dyDescent="0.25">
      <c r="A102" s="434"/>
      <c r="B102" s="440"/>
      <c r="C102" s="440"/>
      <c r="D102" s="11" t="str">
        <f>'В2.Расчет стоимости часа'!C104</f>
        <v xml:space="preserve">        Производство машин и оборудования для сельского и лесного хозяйства</v>
      </c>
      <c r="E102" s="137">
        <f>'В2.Расчет стоимости часа'!H104</f>
        <v>64906.274999999994</v>
      </c>
      <c r="F102" s="137">
        <f>'В2.Расчет стоимости часа'!P104</f>
        <v>552.23785432987972</v>
      </c>
      <c r="G102" s="138" t="s">
        <v>263</v>
      </c>
    </row>
    <row r="103" spans="1:7" ht="45" x14ac:dyDescent="0.25">
      <c r="A103" s="434"/>
      <c r="B103" s="440"/>
      <c r="C103" s="440"/>
      <c r="D103" s="11" t="str">
        <f>'В2.Расчет стоимости часа'!C105</f>
        <v xml:space="preserve">        Производство станков, машин и оборудования для обработки металлов и прочих твердых материалов</v>
      </c>
      <c r="E103" s="137">
        <f>'В2.Расчет стоимости часа'!H105</f>
        <v>54986.899999999994</v>
      </c>
      <c r="F103" s="137">
        <f>'В2.Расчет стоимости часа'!P105</f>
        <v>467.6172262349599</v>
      </c>
      <c r="G103" s="138" t="s">
        <v>263</v>
      </c>
    </row>
    <row r="104" spans="1:7" ht="30" x14ac:dyDescent="0.25">
      <c r="A104" s="434"/>
      <c r="B104" s="440"/>
      <c r="C104" s="441"/>
      <c r="D104" s="11" t="str">
        <f>'В2.Расчет стоимости часа'!C106</f>
        <v xml:space="preserve">        Производство прочих машин специального назначения</v>
      </c>
      <c r="E104" s="137">
        <f>'В2.Расчет стоимости часа'!H106</f>
        <v>69876.724999999991</v>
      </c>
      <c r="F104" s="137">
        <f>'В2.Расчет стоимости часа'!P106</f>
        <v>594.14074773451432</v>
      </c>
      <c r="G104" s="138" t="s">
        <v>263</v>
      </c>
    </row>
    <row r="105" spans="1:7" x14ac:dyDescent="0.25">
      <c r="A105" s="434"/>
      <c r="B105" s="440"/>
      <c r="C105" s="439" t="str">
        <f>'В2.Расчет стоимости часа'!B107</f>
        <v xml:space="preserve">    Производство автотранспортных средств, прицепов и полуприцепов</v>
      </c>
      <c r="D105" s="11" t="str">
        <f>'В2.Расчет стоимости часа'!C107</f>
        <v xml:space="preserve">        Производство автотранспортных средств</v>
      </c>
      <c r="E105" s="137">
        <f>'В2.Расчет стоимости часа'!H107</f>
        <v>66746.274999999994</v>
      </c>
      <c r="F105" s="137">
        <f>'В2.Расчет стоимости часа'!P107</f>
        <v>568.0111654879679</v>
      </c>
      <c r="G105" s="138" t="s">
        <v>263</v>
      </c>
    </row>
    <row r="106" spans="1:7" ht="45" x14ac:dyDescent="0.25">
      <c r="A106" s="434"/>
      <c r="B106" s="440"/>
      <c r="C106" s="440"/>
      <c r="D106" s="11" t="str">
        <f>'В2.Расчет стоимости часа'!C108</f>
        <v xml:space="preserve">        Производство кузовов для автотранспортных средств; производство прицепов и полуприцепов</v>
      </c>
      <c r="E106" s="137">
        <f>'В2.Расчет стоимости часа'!H108</f>
        <v>65115.95</v>
      </c>
      <c r="F106" s="137">
        <f>'В2.Расчет стоимости часа'!P108</f>
        <v>553.01360394552148</v>
      </c>
      <c r="G106" s="138" t="s">
        <v>263</v>
      </c>
    </row>
    <row r="107" spans="1:7" ht="45" x14ac:dyDescent="0.25">
      <c r="A107" s="434"/>
      <c r="B107" s="440"/>
      <c r="C107" s="441"/>
      <c r="D107" s="11" t="str">
        <f>'В2.Расчет стоимости часа'!C109</f>
        <v xml:space="preserve">        Производство комплектующих и принадлежностей для автотранспортных средств</v>
      </c>
      <c r="E107" s="137">
        <f>'В2.Расчет стоимости часа'!H109</f>
        <v>56401.275000000001</v>
      </c>
      <c r="F107" s="137">
        <f>'В2.Расчет стоимости часа'!P109</f>
        <v>478.48686115697427</v>
      </c>
      <c r="G107" s="138" t="s">
        <v>263</v>
      </c>
    </row>
    <row r="108" spans="1:7" ht="30" x14ac:dyDescent="0.25">
      <c r="A108" s="434"/>
      <c r="B108" s="440"/>
      <c r="C108" s="439" t="str">
        <f>'В2.Расчет стоимости часа'!B110</f>
        <v xml:space="preserve">    Производство прочих транспортных средств и оборудования</v>
      </c>
      <c r="D108" s="11" t="str">
        <f>'В2.Расчет стоимости часа'!C110</f>
        <v xml:space="preserve">        Производство железнодорожных локомотивов и подвижного состава</v>
      </c>
      <c r="E108" s="137">
        <f>'В2.Расчет стоимости часа'!H110</f>
        <v>65102.049999999996</v>
      </c>
      <c r="F108" s="137">
        <f>'В2.Расчет стоимости часа'!P110</f>
        <v>553.1212750857843</v>
      </c>
      <c r="G108" s="138" t="s">
        <v>263</v>
      </c>
    </row>
    <row r="109" spans="1:7" ht="45" x14ac:dyDescent="0.25">
      <c r="A109" s="434"/>
      <c r="B109" s="440"/>
      <c r="C109" s="440"/>
      <c r="D109" s="11" t="str">
        <f>'В2.Расчет стоимости часа'!C111</f>
        <v xml:space="preserve">        Производство летательных аппаратов, включая космические, и соответствующего оборудования</v>
      </c>
      <c r="E109" s="137">
        <f>'В2.Расчет стоимости часа'!H111</f>
        <v>78180.95</v>
      </c>
      <c r="F109" s="137">
        <f>'В2.Расчет стоимости часа'!P111</f>
        <v>665.32812669618977</v>
      </c>
      <c r="G109" s="138" t="s">
        <v>263</v>
      </c>
    </row>
    <row r="110" spans="1:7" ht="45" x14ac:dyDescent="0.25">
      <c r="A110" s="434"/>
      <c r="B110" s="440"/>
      <c r="C110" s="441"/>
      <c r="D110" s="11" t="str">
        <f>'В2.Расчет стоимости часа'!C112</f>
        <v xml:space="preserve">        Производство транспортных средств и оборудования, не включенных в другие группировки</v>
      </c>
      <c r="E110" s="137">
        <f>'В2.Расчет стоимости часа'!H112</f>
        <v>48519.4</v>
      </c>
      <c r="F110" s="137">
        <f>'В2.Расчет стоимости часа'!P112</f>
        <v>410.07256788937167</v>
      </c>
      <c r="G110" s="138" t="s">
        <v>263</v>
      </c>
    </row>
    <row r="111" spans="1:7" x14ac:dyDescent="0.25">
      <c r="A111" s="434"/>
      <c r="B111" s="440"/>
      <c r="C111" s="130" t="str">
        <f>'В2.Расчет стоимости часа'!B113</f>
        <v xml:space="preserve">    Производство мебели</v>
      </c>
      <c r="D111" s="11" t="str">
        <f>'В2.Расчет стоимости часа'!C113</f>
        <v xml:space="preserve">        Производство мебели</v>
      </c>
      <c r="E111" s="137">
        <f>'В2.Расчет стоимости часа'!H113</f>
        <v>38885.699999999997</v>
      </c>
      <c r="F111" s="137">
        <f>'В2.Расчет стоимости часа'!P113</f>
        <v>331.07465408868092</v>
      </c>
      <c r="G111" s="138" t="s">
        <v>263</v>
      </c>
    </row>
    <row r="112" spans="1:7" ht="30" x14ac:dyDescent="0.25">
      <c r="A112" s="434"/>
      <c r="B112" s="440"/>
      <c r="C112" s="439" t="str">
        <f>'В2.Расчет стоимости часа'!B114</f>
        <v xml:space="preserve">    Производство прочих готовых изделий</v>
      </c>
      <c r="D112" s="11" t="str">
        <f>'В2.Расчет стоимости часа'!C114</f>
        <v xml:space="preserve">        Производство ювелирных изделий, бижутерии и подобных товаров</v>
      </c>
      <c r="E112" s="137">
        <f>'В2.Расчет стоимости часа'!H114</f>
        <v>56439.25</v>
      </c>
      <c r="F112" s="137">
        <f>'В2.Расчет стоимости часа'!P114</f>
        <v>479.65054517323978</v>
      </c>
      <c r="G112" s="138" t="s">
        <v>263</v>
      </c>
    </row>
    <row r="113" spans="1:7" ht="30" x14ac:dyDescent="0.25">
      <c r="A113" s="434"/>
      <c r="B113" s="440"/>
      <c r="C113" s="440"/>
      <c r="D113" s="11" t="str">
        <f>'В2.Расчет стоимости часа'!C115</f>
        <v xml:space="preserve">        Производство музыкальных инструментов</v>
      </c>
      <c r="E113" s="137">
        <f>'В2.Расчет стоимости часа'!H115</f>
        <v>41960.425000000003</v>
      </c>
      <c r="F113" s="137">
        <f>'В2.Расчет стоимости часа'!P115</f>
        <v>357.33345045510248</v>
      </c>
      <c r="G113" s="138" t="s">
        <v>263</v>
      </c>
    </row>
    <row r="114" spans="1:7" x14ac:dyDescent="0.25">
      <c r="A114" s="434"/>
      <c r="B114" s="440"/>
      <c r="C114" s="440"/>
      <c r="D114" s="11" t="str">
        <f>'В2.Расчет стоимости часа'!C116</f>
        <v xml:space="preserve">        Производство спортивных товаров</v>
      </c>
      <c r="E114" s="137">
        <f>'В2.Расчет стоимости часа'!H116</f>
        <v>41618.65</v>
      </c>
      <c r="F114" s="137">
        <f>'В2.Расчет стоимости часа'!P116</f>
        <v>354.37885825868983</v>
      </c>
      <c r="G114" s="138" t="s">
        <v>263</v>
      </c>
    </row>
    <row r="115" spans="1:7" x14ac:dyDescent="0.25">
      <c r="A115" s="434"/>
      <c r="B115" s="440"/>
      <c r="C115" s="440"/>
      <c r="D115" s="11" t="str">
        <f>'В2.Расчет стоимости часа'!C117</f>
        <v xml:space="preserve">        Производство игр и игрушек</v>
      </c>
      <c r="E115" s="137">
        <f>'В2.Расчет стоимости часа'!H117</f>
        <v>38684.824999999997</v>
      </c>
      <c r="F115" s="137">
        <f>'В2.Расчет стоимости часа'!P117</f>
        <v>328.93764698529418</v>
      </c>
      <c r="G115" s="138" t="s">
        <v>263</v>
      </c>
    </row>
    <row r="116" spans="1:7" ht="30" x14ac:dyDescent="0.25">
      <c r="A116" s="434"/>
      <c r="B116" s="440"/>
      <c r="C116" s="440"/>
      <c r="D116" s="11" t="str">
        <f>'В2.Расчет стоимости часа'!C118</f>
        <v xml:space="preserve">        Производство медицинских инструментов и оборудования</v>
      </c>
      <c r="E116" s="137">
        <f>'В2.Расчет стоимости часа'!H118</f>
        <v>70192.175000000003</v>
      </c>
      <c r="F116" s="137">
        <f>'В2.Расчет стоимости часа'!P118</f>
        <v>591.59966202038765</v>
      </c>
      <c r="G116" s="138" t="s">
        <v>263</v>
      </c>
    </row>
    <row r="117" spans="1:7" ht="30" x14ac:dyDescent="0.25">
      <c r="A117" s="434"/>
      <c r="B117" s="440"/>
      <c r="C117" s="441"/>
      <c r="D117" s="11" t="str">
        <f>'В2.Расчет стоимости часа'!C119</f>
        <v xml:space="preserve">        Производство изделий, не включенных в другие группировки</v>
      </c>
      <c r="E117" s="137">
        <f>'В2.Расчет стоимости часа'!H119</f>
        <v>43854.9</v>
      </c>
      <c r="F117" s="137">
        <f>'В2.Расчет стоимости часа'!P119</f>
        <v>374.11940579656869</v>
      </c>
      <c r="G117" s="138" t="s">
        <v>263</v>
      </c>
    </row>
    <row r="118" spans="1:7" ht="30" x14ac:dyDescent="0.25">
      <c r="A118" s="434"/>
      <c r="B118" s="440"/>
      <c r="C118" s="439" t="str">
        <f>'В2.Расчет стоимости часа'!B120</f>
        <v xml:space="preserve">    Ремонт и монтаж машин и оборудования</v>
      </c>
      <c r="D118" s="11" t="str">
        <f>'В2.Расчет стоимости часа'!C120</f>
        <v xml:space="preserve">        Ремонт и монтаж металлических изделий, машин и оборудования</v>
      </c>
      <c r="E118" s="137">
        <f>'В2.Расчет стоимости часа'!H120</f>
        <v>70959.324999999997</v>
      </c>
      <c r="F118" s="137">
        <f>'В2.Расчет стоимости часа'!P120</f>
        <v>603.78775180871207</v>
      </c>
      <c r="G118" s="138" t="s">
        <v>263</v>
      </c>
    </row>
    <row r="119" spans="1:7" ht="30" x14ac:dyDescent="0.25">
      <c r="A119" s="435"/>
      <c r="B119" s="441"/>
      <c r="C119" s="441"/>
      <c r="D119" s="11" t="str">
        <f>'В2.Расчет стоимости часа'!C121</f>
        <v xml:space="preserve">        Монтаж промышленных машин и оборудования</v>
      </c>
      <c r="E119" s="137">
        <f>'В2.Расчет стоимости часа'!H121</f>
        <v>70360.55</v>
      </c>
      <c r="F119" s="137">
        <f>'В2.Расчет стоимости часа'!P121</f>
        <v>597.37250279411762</v>
      </c>
      <c r="G119" s="138" t="s">
        <v>263</v>
      </c>
    </row>
    <row r="120" spans="1:7" ht="30" x14ac:dyDescent="0.25">
      <c r="A120" s="433">
        <v>5</v>
      </c>
      <c r="B120" s="439" t="str">
        <f>'В2.Расчет стоимости часа'!A122</f>
        <v>ОБЕСПЕЧЕНИЕ ЭЛЕКТРИЧЕСКОЙ ЭНЕРГИЕЙ, ГАЗОМ И ПАРОМ; КОНДИЦИОНИРОВАНИЕ ВОЗДУХА</v>
      </c>
      <c r="C120" s="439" t="str">
        <f>'В2.Расчет стоимости часа'!B122</f>
        <v xml:space="preserve">    Обеспечение электрической энергией, газом и паром; кондиционирование воздуха</v>
      </c>
      <c r="D120" s="11" t="str">
        <f>'В2.Расчет стоимости часа'!C122</f>
        <v xml:space="preserve">        Производство, передача и распределение электроэнергии</v>
      </c>
      <c r="E120" s="137">
        <f>'В2.Расчет стоимости часа'!H122</f>
        <v>87212.975000000006</v>
      </c>
      <c r="F120" s="137">
        <f>'В2.Расчет стоимости часа'!P122</f>
        <v>741.30289167613648</v>
      </c>
      <c r="G120" s="138" t="s">
        <v>263</v>
      </c>
    </row>
    <row r="121" spans="1:7" ht="30" x14ac:dyDescent="0.25">
      <c r="A121" s="434"/>
      <c r="B121" s="440"/>
      <c r="C121" s="440"/>
      <c r="D121" s="11" t="str">
        <f>'В2.Расчет стоимости часа'!C123</f>
        <v xml:space="preserve">        Производство и распределение газообразного топлива</v>
      </c>
      <c r="E121" s="137">
        <f>'В2.Расчет стоимости часа'!H123</f>
        <v>58760.125</v>
      </c>
      <c r="F121" s="137">
        <f>'В2.Расчет стоимости часа'!P123</f>
        <v>499.73122981561943</v>
      </c>
      <c r="G121" s="138" t="s">
        <v>263</v>
      </c>
    </row>
    <row r="122" spans="1:7" ht="45" x14ac:dyDescent="0.25">
      <c r="A122" s="435"/>
      <c r="B122" s="441"/>
      <c r="C122" s="441"/>
      <c r="D122" s="11" t="str">
        <f>'В2.Расчет стоимости часа'!C124</f>
        <v xml:space="preserve">        Производство, передача и распределение пара и горячей воды; кондиционирование воздуха</v>
      </c>
      <c r="E122" s="137">
        <f>'В2.Расчет стоимости часа'!H124</f>
        <v>53403.225000000006</v>
      </c>
      <c r="F122" s="137">
        <f>'В2.Расчет стоимости часа'!P124</f>
        <v>455.13010737633692</v>
      </c>
      <c r="G122" s="138" t="s">
        <v>263</v>
      </c>
    </row>
    <row r="123" spans="1:7" ht="30" x14ac:dyDescent="0.25">
      <c r="A123" s="433">
        <v>6</v>
      </c>
      <c r="B123" s="439" t="str">
        <f>'В2.Расчет стоимости часа'!A125</f>
        <v>ВОДОСНАБЖЕНИЕ; ВОДООТВЕДЕНИЕ, ОРГАНИЗАЦИЯ СБОРА И УТИЛИЗАЦИИ ОТХОДОВ, ДЕЯТЕЛЬНОСТЬ ПО ЛИКВИДАЦИИ ЗАГРЯЗНЕНИЙ</v>
      </c>
      <c r="C123" s="130" t="str">
        <f>'В2.Расчет стоимости часа'!B125</f>
        <v xml:space="preserve">    Забор, очистка и распределение воды</v>
      </c>
      <c r="D123" s="11" t="str">
        <f>'В2.Расчет стоимости часа'!C125</f>
        <v xml:space="preserve">        Забор, очистка и распределение воды</v>
      </c>
      <c r="E123" s="137">
        <f>'В2.Расчет стоимости часа'!H125</f>
        <v>47596.149999999994</v>
      </c>
      <c r="F123" s="137">
        <f>'В2.Расчет стоимости часа'!P125</f>
        <v>405.39629392156866</v>
      </c>
      <c r="G123" s="138" t="s">
        <v>263</v>
      </c>
    </row>
    <row r="124" spans="1:7" x14ac:dyDescent="0.25">
      <c r="A124" s="434"/>
      <c r="B124" s="440"/>
      <c r="C124" s="130" t="str">
        <f>'В2.Расчет стоимости часа'!B126</f>
        <v xml:space="preserve">    Сбор и обработка сточных вод</v>
      </c>
      <c r="D124" s="11" t="str">
        <f>'В2.Расчет стоимости часа'!C126</f>
        <v xml:space="preserve">        Сбор и обработка сточных вод</v>
      </c>
      <c r="E124" s="137">
        <f>'В2.Расчет стоимости часа'!H126</f>
        <v>45583.950000000004</v>
      </c>
      <c r="F124" s="137">
        <f>'В2.Расчет стоимости часа'!P126</f>
        <v>388.53437238246443</v>
      </c>
      <c r="G124" s="138" t="s">
        <v>263</v>
      </c>
    </row>
    <row r="125" spans="1:7" x14ac:dyDescent="0.25">
      <c r="A125" s="434"/>
      <c r="B125" s="440"/>
      <c r="C125" s="439" t="str">
        <f>'В2.Расчет стоимости часа'!B127</f>
        <v xml:space="preserve">    Сбор, обработка и утилизация отходов; обработка вторичного сырья</v>
      </c>
      <c r="D125" s="11" t="str">
        <f>'В2.Расчет стоимости часа'!C127</f>
        <v xml:space="preserve">        Сбор отходов</v>
      </c>
      <c r="E125" s="137">
        <f>'В2.Расчет стоимости часа'!H127</f>
        <v>53161.899999999994</v>
      </c>
      <c r="F125" s="137">
        <f>'В2.Расчет стоимости часа'!P127</f>
        <v>453.2401552322861</v>
      </c>
      <c r="G125" s="138" t="s">
        <v>263</v>
      </c>
    </row>
    <row r="126" spans="1:7" x14ac:dyDescent="0.25">
      <c r="A126" s="434"/>
      <c r="B126" s="440"/>
      <c r="C126" s="440"/>
      <c r="D126" s="11" t="str">
        <f>'В2.Расчет стоимости часа'!C128</f>
        <v xml:space="preserve">        Обработка и утилизация отходов</v>
      </c>
      <c r="E126" s="137">
        <f>'В2.Расчет стоимости часа'!H128</f>
        <v>72214.75</v>
      </c>
      <c r="F126" s="137">
        <f>'В2.Расчет стоимости часа'!P128</f>
        <v>619.29204485628338</v>
      </c>
      <c r="G126" s="138" t="s">
        <v>263</v>
      </c>
    </row>
    <row r="127" spans="1:7" ht="30" x14ac:dyDescent="0.25">
      <c r="A127" s="434"/>
      <c r="B127" s="440"/>
      <c r="C127" s="441"/>
      <c r="D127" s="11" t="str">
        <f>'В2.Расчет стоимости часа'!C129</f>
        <v xml:space="preserve">        Деятельность по обработке вторичного сырья</v>
      </c>
      <c r="E127" s="137">
        <f>'В2.Расчет стоимости часа'!H129</f>
        <v>48646.25</v>
      </c>
      <c r="F127" s="137">
        <f>'В2.Расчет стоимости часа'!P129</f>
        <v>413.45166331383683</v>
      </c>
      <c r="G127" s="138" t="s">
        <v>263</v>
      </c>
    </row>
    <row r="128" spans="1:7" ht="75" x14ac:dyDescent="0.25">
      <c r="A128" s="435"/>
      <c r="B128" s="441"/>
      <c r="C128" s="130" t="str">
        <f>'В2.Расчет стоимости часа'!B130</f>
        <v xml:space="preserve">    Предоставление услуг в области ликвидации последствий загрязнений и прочих услуг, связанных с удалением отходов</v>
      </c>
      <c r="D128" s="11" t="str">
        <f>'В2.Расчет стоимости часа'!C130</f>
        <v xml:space="preserve">        Предоставление услуг в области ликвидации последствий загрязнений и прочих услуг, связанных с удалением отходов</v>
      </c>
      <c r="E128" s="137">
        <f>'В2.Расчет стоимости часа'!H130</f>
        <v>44036.074999999997</v>
      </c>
      <c r="F128" s="137">
        <f>'В2.Расчет стоимости часа'!P130</f>
        <v>375.35227113413549</v>
      </c>
      <c r="G128" s="138" t="s">
        <v>263</v>
      </c>
    </row>
    <row r="129" spans="1:7" x14ac:dyDescent="0.25">
      <c r="A129" s="433">
        <v>7</v>
      </c>
      <c r="B129" s="439" t="str">
        <f>'В2.Расчет стоимости часа'!A131</f>
        <v>СТРОИТЕЛЬСТВО</v>
      </c>
      <c r="C129" s="439" t="str">
        <f>'В2.Расчет стоимости часа'!B131</f>
        <v xml:space="preserve">    Строительство зданий</v>
      </c>
      <c r="D129" s="11" t="str">
        <f>'В2.Расчет стоимости часа'!C131</f>
        <v xml:space="preserve">        Разработка строительных проектов</v>
      </c>
      <c r="E129" s="137">
        <f>'В2.Расчет стоимости часа'!H131</f>
        <v>54349.775000000009</v>
      </c>
      <c r="F129" s="137">
        <f>'В2.Расчет стоимости часа'!P131</f>
        <v>462.44424613302147</v>
      </c>
      <c r="G129" s="138" t="s">
        <v>263</v>
      </c>
    </row>
    <row r="130" spans="1:7" x14ac:dyDescent="0.25">
      <c r="A130" s="434"/>
      <c r="B130" s="440"/>
      <c r="C130" s="441"/>
      <c r="D130" s="11" t="str">
        <f>'В2.Расчет стоимости часа'!C132</f>
        <v xml:space="preserve">        Строительство жилых и нежилых зданий</v>
      </c>
      <c r="E130" s="137">
        <f>'В2.Расчет стоимости часа'!H132</f>
        <v>58401.275000000001</v>
      </c>
      <c r="F130" s="137">
        <f>'В2.Расчет стоимости часа'!P132</f>
        <v>495.50647927473261</v>
      </c>
      <c r="G130" s="138" t="s">
        <v>263</v>
      </c>
    </row>
    <row r="131" spans="1:7" ht="30" x14ac:dyDescent="0.25">
      <c r="A131" s="434"/>
      <c r="B131" s="440"/>
      <c r="C131" s="439" t="str">
        <f>'В2.Расчет стоимости часа'!B133</f>
        <v xml:space="preserve">    Строительство инженерных сооружений</v>
      </c>
      <c r="D131" s="11" t="str">
        <f>'В2.Расчет стоимости часа'!C133</f>
        <v xml:space="preserve">        Строительство автомобильных и железных дорог</v>
      </c>
      <c r="E131" s="137">
        <f>'В2.Расчет стоимости часа'!H133</f>
        <v>67326.574999999997</v>
      </c>
      <c r="F131" s="137">
        <f>'В2.Расчет стоимости часа'!P133</f>
        <v>571.39533947638142</v>
      </c>
      <c r="G131" s="138" t="s">
        <v>263</v>
      </c>
    </row>
    <row r="132" spans="1:7" ht="30" x14ac:dyDescent="0.25">
      <c r="A132" s="434"/>
      <c r="B132" s="440"/>
      <c r="C132" s="440"/>
      <c r="D132" s="11" t="str">
        <f>'В2.Расчет стоимости часа'!C134</f>
        <v xml:space="preserve">        Строительство инженерных коммуникаций</v>
      </c>
      <c r="E132" s="137">
        <f>'В2.Расчет стоимости часа'!H134</f>
        <v>86836.6</v>
      </c>
      <c r="F132" s="137">
        <f>'В2.Расчет стоимости часа'!P134</f>
        <v>734.71923194964347</v>
      </c>
      <c r="G132" s="138" t="s">
        <v>263</v>
      </c>
    </row>
    <row r="133" spans="1:7" ht="30" x14ac:dyDescent="0.25">
      <c r="A133" s="434"/>
      <c r="B133" s="440"/>
      <c r="C133" s="441"/>
      <c r="D133" s="11" t="str">
        <f>'В2.Расчет стоимости часа'!C135</f>
        <v xml:space="preserve">        Строительство прочих инженерных сооружений</v>
      </c>
      <c r="E133" s="137">
        <f>'В2.Расчет стоимости часа'!H135</f>
        <v>87903.425000000003</v>
      </c>
      <c r="F133" s="137">
        <f>'В2.Расчет стоимости часа'!P135</f>
        <v>745.51723342134585</v>
      </c>
      <c r="G133" s="138" t="s">
        <v>263</v>
      </c>
    </row>
    <row r="134" spans="1:7" ht="30" x14ac:dyDescent="0.25">
      <c r="A134" s="434"/>
      <c r="B134" s="440"/>
      <c r="C134" s="439" t="str">
        <f>'В2.Расчет стоимости часа'!B136</f>
        <v xml:space="preserve">    Работы строительные специализированные</v>
      </c>
      <c r="D134" s="11" t="str">
        <f>'В2.Расчет стоимости часа'!C136</f>
        <v xml:space="preserve">        Разборка и снос зданий, подготовка строительного участка</v>
      </c>
      <c r="E134" s="137">
        <f>'В2.Расчет стоимости часа'!H136</f>
        <v>71407.574999999997</v>
      </c>
      <c r="F134" s="137">
        <f>'В2.Расчет стоимости часа'!P136</f>
        <v>606.64209380069087</v>
      </c>
      <c r="G134" s="138" t="s">
        <v>263</v>
      </c>
    </row>
    <row r="135" spans="1:7" ht="45" x14ac:dyDescent="0.25">
      <c r="A135" s="434"/>
      <c r="B135" s="440"/>
      <c r="C135" s="440"/>
      <c r="D135" s="11" t="str">
        <f>'В2.Расчет стоимости часа'!C137</f>
        <v xml:space="preserve">        Производство электромонтажных, санитарно-технических и прочих строительно-монтажных работ</v>
      </c>
      <c r="E135" s="137">
        <f>'В2.Расчет стоимости часа'!H137</f>
        <v>47256.800000000003</v>
      </c>
      <c r="F135" s="137">
        <f>'В2.Расчет стоимости часа'!P137</f>
        <v>401.72925586397059</v>
      </c>
      <c r="G135" s="138" t="s">
        <v>263</v>
      </c>
    </row>
    <row r="136" spans="1:7" x14ac:dyDescent="0.25">
      <c r="A136" s="434"/>
      <c r="B136" s="440"/>
      <c r="C136" s="440"/>
      <c r="D136" s="11" t="str">
        <f>'В2.Расчет стоимости часа'!C138</f>
        <v xml:space="preserve">        Работы строительные отделочные</v>
      </c>
      <c r="E136" s="137">
        <f>'В2.Расчет стоимости часа'!H138</f>
        <v>31350.35</v>
      </c>
      <c r="F136" s="137">
        <f>'В2.Расчет стоимости часа'!P138</f>
        <v>265.91648909536542</v>
      </c>
      <c r="G136" s="138" t="s">
        <v>263</v>
      </c>
    </row>
    <row r="137" spans="1:7" ht="30" x14ac:dyDescent="0.25">
      <c r="A137" s="435"/>
      <c r="B137" s="441"/>
      <c r="C137" s="441"/>
      <c r="D137" s="11" t="str">
        <f>'В2.Расчет стоимости часа'!C139</f>
        <v xml:space="preserve">        Работы строительные специализированные прочие</v>
      </c>
      <c r="E137" s="137">
        <f>'В2.Расчет стоимости часа'!H139</f>
        <v>65778.450000000012</v>
      </c>
      <c r="F137" s="137">
        <f>'В2.Расчет стоимости часа'!P139</f>
        <v>557.96306413547245</v>
      </c>
      <c r="G137" s="138" t="s">
        <v>263</v>
      </c>
    </row>
    <row r="138" spans="1:7" ht="30" x14ac:dyDescent="0.25">
      <c r="A138" s="433">
        <v>8</v>
      </c>
      <c r="B138" s="439" t="str">
        <f>'В2.Расчет стоимости часа'!A140</f>
        <v>ТОРГОВЛЯ ОПТОВАЯ И РОЗНИЧНАЯ; РЕМОНТ АВТОТРАНСПОРТНЫХ СРЕДСТВ И МОТОЦИКЛОВ</v>
      </c>
      <c r="C138" s="439" t="str">
        <f>'В2.Расчет стоимости часа'!B140</f>
        <v xml:space="preserve">    Торговля оптовая и розничная автотранспортными средствами и мотоциклами и их ремонт</v>
      </c>
      <c r="D138" s="11" t="str">
        <f>'В2.Расчет стоимости часа'!C140</f>
        <v xml:space="preserve">        Торговля автотранспортными средствами</v>
      </c>
      <c r="E138" s="137">
        <f>'В2.Расчет стоимости часа'!H140</f>
        <v>75347.549999999988</v>
      </c>
      <c r="F138" s="137">
        <f>'В2.Расчет стоимости часа'!P140</f>
        <v>640.30591628899299</v>
      </c>
      <c r="G138" s="138" t="s">
        <v>263</v>
      </c>
    </row>
    <row r="139" spans="1:7" ht="30" x14ac:dyDescent="0.25">
      <c r="A139" s="434"/>
      <c r="B139" s="440"/>
      <c r="C139" s="440"/>
      <c r="D139" s="11" t="str">
        <f>'В2.Расчет стоимости часа'!C141</f>
        <v xml:space="preserve">        Техническое обслуживание и ремонт автотранспортных средств</v>
      </c>
      <c r="E139" s="137">
        <f>'В2.Расчет стоимости часа'!H141</f>
        <v>47477.925000000003</v>
      </c>
      <c r="F139" s="137">
        <f>'В2.Расчет стоимости часа'!P141</f>
        <v>403.69684195799914</v>
      </c>
      <c r="G139" s="138" t="s">
        <v>263</v>
      </c>
    </row>
    <row r="140" spans="1:7" ht="30" x14ac:dyDescent="0.25">
      <c r="A140" s="434"/>
      <c r="B140" s="440"/>
      <c r="C140" s="440"/>
      <c r="D140" s="11" t="str">
        <f>'В2.Расчет стоимости часа'!C142</f>
        <v xml:space="preserve">        Торговля автомобильными деталями, узлами и принадлежностями</v>
      </c>
      <c r="E140" s="137">
        <f>'В2.Расчет стоимости часа'!H142</f>
        <v>48308.474999999999</v>
      </c>
      <c r="F140" s="137">
        <f>'В2.Расчет стоимости часа'!P142</f>
        <v>410.51565283032534</v>
      </c>
      <c r="G140" s="138" t="s">
        <v>263</v>
      </c>
    </row>
    <row r="141" spans="1:7" ht="45" x14ac:dyDescent="0.25">
      <c r="A141" s="434"/>
      <c r="B141" s="440"/>
      <c r="C141" s="441"/>
      <c r="D141" s="11" t="str">
        <f>'В2.Расчет стоимости часа'!C143</f>
        <v xml:space="preserve">        Торговля мотоциклами, их деталями, узлами и принадлежностями; техническое обслуживание и ремонт мотоциклов</v>
      </c>
      <c r="E141" s="137">
        <f>'В2.Расчет стоимости часа'!H143</f>
        <v>43876.15</v>
      </c>
      <c r="F141" s="137">
        <f>'В2.Расчет стоимости часа'!P143</f>
        <v>372.34619498663102</v>
      </c>
      <c r="G141" s="138" t="s">
        <v>263</v>
      </c>
    </row>
    <row r="142" spans="1:7" ht="30" x14ac:dyDescent="0.25">
      <c r="A142" s="434"/>
      <c r="B142" s="440"/>
      <c r="C142" s="439" t="str">
        <f>'В2.Расчет стоимости часа'!B144</f>
        <v xml:space="preserve">    Торговля оптовая, кроме оптовой торговли автотранспортными средствами и мотоциклами</v>
      </c>
      <c r="D142" s="11" t="str">
        <f>'В2.Расчет стоимости часа'!C144</f>
        <v xml:space="preserve">        Торговля оптовая за вознаграждение или на договорной основе</v>
      </c>
      <c r="E142" s="137">
        <f>'В2.Расчет стоимости часа'!H144</f>
        <v>69708.324999999997</v>
      </c>
      <c r="F142" s="137">
        <f>'В2.Расчет стоимости часа'!P144</f>
        <v>585.42355964962132</v>
      </c>
      <c r="G142" s="138" t="s">
        <v>263</v>
      </c>
    </row>
    <row r="143" spans="1:7" ht="30" x14ac:dyDescent="0.25">
      <c r="A143" s="434"/>
      <c r="B143" s="440"/>
      <c r="C143" s="440"/>
      <c r="D143" s="11" t="str">
        <f>'В2.Расчет стоимости часа'!C145</f>
        <v xml:space="preserve">        Торговля оптовая сельскохозяйственным сырьем и живыми животными</v>
      </c>
      <c r="E143" s="137">
        <f>'В2.Расчет стоимости часа'!H145</f>
        <v>64223.074999999997</v>
      </c>
      <c r="F143" s="137">
        <f>'В2.Расчет стоимости часа'!P145</f>
        <v>544.3097072315062</v>
      </c>
      <c r="G143" s="138" t="s">
        <v>263</v>
      </c>
    </row>
    <row r="144" spans="1:7" ht="45" x14ac:dyDescent="0.25">
      <c r="A144" s="434"/>
      <c r="B144" s="440"/>
      <c r="C144" s="440"/>
      <c r="D144" s="11" t="str">
        <f>'В2.Расчет стоимости часа'!C146</f>
        <v xml:space="preserve">        Торговля оптовая пищевыми продуктами, напитками и табачными изделиями</v>
      </c>
      <c r="E144" s="137">
        <f>'В2.Расчет стоимости часа'!H146</f>
        <v>60173.125</v>
      </c>
      <c r="F144" s="137">
        <f>'В2.Расчет стоимости часа'!P146</f>
        <v>511.62724681483957</v>
      </c>
      <c r="G144" s="138" t="s">
        <v>263</v>
      </c>
    </row>
    <row r="145" spans="1:7" ht="45" x14ac:dyDescent="0.25">
      <c r="A145" s="434"/>
      <c r="B145" s="440"/>
      <c r="C145" s="440"/>
      <c r="D145" s="11" t="str">
        <f>'В2.Расчет стоимости часа'!C147</f>
        <v xml:space="preserve">        Торговля оптовая непродовольственными потребительскими товарами</v>
      </c>
      <c r="E145" s="137">
        <f>'В2.Расчет стоимости часа'!H147</f>
        <v>83142.875</v>
      </c>
      <c r="F145" s="137">
        <f>'В2.Расчет стоимости часа'!P147</f>
        <v>702.98651412266042</v>
      </c>
      <c r="G145" s="138" t="s">
        <v>263</v>
      </c>
    </row>
    <row r="146" spans="1:7" ht="30" x14ac:dyDescent="0.25">
      <c r="A146" s="434"/>
      <c r="B146" s="440"/>
      <c r="C146" s="440"/>
      <c r="D146" s="11" t="str">
        <f>'В2.Расчет стоимости часа'!C148</f>
        <v xml:space="preserve">        Торговля оптовая информационным и коммуникационным оборудованием</v>
      </c>
      <c r="E146" s="137">
        <f>'В2.Расчет стоимости часа'!H148</f>
        <v>118527.22500000001</v>
      </c>
      <c r="F146" s="137">
        <f>'В2.Расчет стоимости часа'!P148</f>
        <v>1011.2168805041223</v>
      </c>
      <c r="G146" s="138" t="s">
        <v>263</v>
      </c>
    </row>
    <row r="147" spans="1:7" ht="30" x14ac:dyDescent="0.25">
      <c r="A147" s="434"/>
      <c r="B147" s="440"/>
      <c r="C147" s="440"/>
      <c r="D147" s="11" t="str">
        <f>'В2.Расчет стоимости часа'!C149</f>
        <v xml:space="preserve">        Торговля оптовая прочими машинами, оборудованием и принадлежностями</v>
      </c>
      <c r="E147" s="137">
        <f>'В2.Расчет стоимости часа'!H149</f>
        <v>87146.875</v>
      </c>
      <c r="F147" s="137">
        <f>'В2.Расчет стоимости часа'!P149</f>
        <v>739.0252454367203</v>
      </c>
      <c r="G147" s="138" t="s">
        <v>263</v>
      </c>
    </row>
    <row r="148" spans="1:7" ht="30" x14ac:dyDescent="0.25">
      <c r="A148" s="434"/>
      <c r="B148" s="440"/>
      <c r="C148" s="440"/>
      <c r="D148" s="11" t="str">
        <f>'В2.Расчет стоимости часа'!C150</f>
        <v xml:space="preserve">        Торговля оптовая специализированная прочая</v>
      </c>
      <c r="E148" s="137">
        <f>'В2.Расчет стоимости часа'!H150</f>
        <v>72837.850000000006</v>
      </c>
      <c r="F148" s="137">
        <f>'В2.Расчет стоимости часа'!P150</f>
        <v>612.43136804534311</v>
      </c>
      <c r="G148" s="138" t="s">
        <v>263</v>
      </c>
    </row>
    <row r="149" spans="1:7" ht="30" x14ac:dyDescent="0.25">
      <c r="A149" s="434"/>
      <c r="B149" s="440"/>
      <c r="C149" s="441"/>
      <c r="D149" s="11" t="str">
        <f>'В2.Расчет стоимости часа'!C151</f>
        <v xml:space="preserve">        Торговля оптовая неспециализированная</v>
      </c>
      <c r="E149" s="137">
        <f>'В2.Расчет стоимости часа'!H151</f>
        <v>71036.899999999994</v>
      </c>
      <c r="F149" s="137">
        <f>'В2.Расчет стоимости часа'!P151</f>
        <v>598.92101271501781</v>
      </c>
      <c r="G149" s="138" t="s">
        <v>263</v>
      </c>
    </row>
    <row r="150" spans="1:7" ht="30" x14ac:dyDescent="0.25">
      <c r="A150" s="434"/>
      <c r="B150" s="440"/>
      <c r="C150" s="439" t="str">
        <f>'В2.Расчет стоимости часа'!B152</f>
        <v xml:space="preserve">    Торговля розничная, кроме торговли автотранспортными средствами и мотоциклами</v>
      </c>
      <c r="D150" s="11" t="str">
        <f>'В2.Расчет стоимости часа'!C152</f>
        <v xml:space="preserve">        Торговля розничная в неспециализированных магазинах</v>
      </c>
      <c r="E150" s="137">
        <f>'В2.Расчет стоимости часа'!H152</f>
        <v>45831.874999999993</v>
      </c>
      <c r="F150" s="137">
        <f>'В2.Расчет стоимости часа'!P152</f>
        <v>390.57852386586455</v>
      </c>
      <c r="G150" s="138" t="s">
        <v>263</v>
      </c>
    </row>
    <row r="151" spans="1:7" ht="60" x14ac:dyDescent="0.25">
      <c r="A151" s="434"/>
      <c r="B151" s="440"/>
      <c r="C151" s="440"/>
      <c r="D151" s="11" t="str">
        <f>'В2.Расчет стоимости часа'!C153</f>
        <v xml:space="preserve">        Торговля розничная пищевыми продуктами, напитками и табачными изделиями в специализированных магазинах</v>
      </c>
      <c r="E151" s="137">
        <f>'В2.Расчет стоимости часа'!H153</f>
        <v>38601.300000000003</v>
      </c>
      <c r="F151" s="137">
        <f>'В2.Расчет стоимости часа'!P153</f>
        <v>329.78413301637698</v>
      </c>
      <c r="G151" s="138" t="s">
        <v>263</v>
      </c>
    </row>
    <row r="152" spans="1:7" ht="30" x14ac:dyDescent="0.25">
      <c r="A152" s="434"/>
      <c r="B152" s="440"/>
      <c r="C152" s="440"/>
      <c r="D152" s="11" t="str">
        <f>'В2.Расчет стоимости часа'!C154</f>
        <v xml:space="preserve">        Торговля розничная моторным топливом в специализированных магазинах</v>
      </c>
      <c r="E152" s="137">
        <f>'В2.Расчет стоимости часа'!H154</f>
        <v>47834.824999999997</v>
      </c>
      <c r="F152" s="137">
        <f>'В2.Расчет стоимости часа'!P154</f>
        <v>407.94628809491985</v>
      </c>
      <c r="G152" s="138" t="s">
        <v>263</v>
      </c>
    </row>
    <row r="153" spans="1:7" ht="45" x14ac:dyDescent="0.25">
      <c r="A153" s="434"/>
      <c r="B153" s="440"/>
      <c r="C153" s="440"/>
      <c r="D153" s="11" t="str">
        <f>'В2.Расчет стоимости часа'!C155</f>
        <v xml:space="preserve">        Торговля розничная информационным и коммуникационным оборудованием в специализированных магазинах</v>
      </c>
      <c r="E153" s="137">
        <f>'В2.Расчет стоимости часа'!H155</f>
        <v>59146.600000000006</v>
      </c>
      <c r="F153" s="137">
        <f>'В2.Расчет стоимости часа'!P155</f>
        <v>505.48720510082438</v>
      </c>
      <c r="G153" s="138" t="s">
        <v>263</v>
      </c>
    </row>
    <row r="154" spans="1:7" ht="45" x14ac:dyDescent="0.25">
      <c r="A154" s="434"/>
      <c r="B154" s="440"/>
      <c r="C154" s="440"/>
      <c r="D154" s="11" t="str">
        <f>'В2.Расчет стоимости часа'!C156</f>
        <v xml:space="preserve">        Торговля розничная прочими бытовыми изделиями в специализированных магазинах</v>
      </c>
      <c r="E154" s="137">
        <f>'В2.Расчет стоимости часа'!H156</f>
        <v>55927.074999999997</v>
      </c>
      <c r="F154" s="137">
        <f>'В2.Расчет стоимости часа'!P156</f>
        <v>477.88336290663995</v>
      </c>
      <c r="G154" s="138" t="s">
        <v>263</v>
      </c>
    </row>
    <row r="155" spans="1:7" ht="45" x14ac:dyDescent="0.25">
      <c r="A155" s="434"/>
      <c r="B155" s="440"/>
      <c r="C155" s="440"/>
      <c r="D155" s="11" t="str">
        <f>'В2.Расчет стоимости часа'!C157</f>
        <v xml:space="preserve">        Торговля розничная товарами культурно-развлекательного назначения в специализированных магазинах</v>
      </c>
      <c r="E155" s="137">
        <f>'В2.Расчет стоимости часа'!H157</f>
        <v>32165.35</v>
      </c>
      <c r="F155" s="137">
        <f>'В2.Расчет стоимости часа'!P157</f>
        <v>274.49459567680481</v>
      </c>
      <c r="G155" s="138" t="s">
        <v>263</v>
      </c>
    </row>
    <row r="156" spans="1:7" ht="30" x14ac:dyDescent="0.25">
      <c r="A156" s="434"/>
      <c r="B156" s="440"/>
      <c r="C156" s="440"/>
      <c r="D156" s="11" t="str">
        <f>'В2.Расчет стоимости часа'!C158</f>
        <v xml:space="preserve">        Торговля розничная прочими товарами в специализированных магазинах</v>
      </c>
      <c r="E156" s="137">
        <f>'В2.Расчет стоимости часа'!H158</f>
        <v>56152.049999999996</v>
      </c>
      <c r="F156" s="137">
        <f>'В2.Расчет стоимости часа'!P158</f>
        <v>476.89689495265156</v>
      </c>
      <c r="G156" s="138" t="s">
        <v>263</v>
      </c>
    </row>
    <row r="157" spans="1:7" ht="30" x14ac:dyDescent="0.25">
      <c r="A157" s="434"/>
      <c r="B157" s="440"/>
      <c r="C157" s="440"/>
      <c r="D157" s="11" t="str">
        <f>'В2.Расчет стоимости часа'!C159</f>
        <v xml:space="preserve">        Торговля розничная в нестационарных торговых объектах и на рынках</v>
      </c>
      <c r="E157" s="137">
        <f>'В2.Расчет стоимости часа'!H159</f>
        <v>50026.95</v>
      </c>
      <c r="F157" s="137">
        <f>'В2.Расчет стоимости часа'!P159</f>
        <v>424.97785934436274</v>
      </c>
      <c r="G157" s="138" t="s">
        <v>263</v>
      </c>
    </row>
    <row r="158" spans="1:7" ht="30" x14ac:dyDescent="0.25">
      <c r="A158" s="435"/>
      <c r="B158" s="441"/>
      <c r="C158" s="441"/>
      <c r="D158" s="11" t="str">
        <f>'В2.Расчет стоимости часа'!C160</f>
        <v xml:space="preserve">        Торговля розничная вне магазинов, палаток, рынков</v>
      </c>
      <c r="E158" s="137">
        <f>'В2.Расчет стоимости часа'!H160</f>
        <v>67887.5</v>
      </c>
      <c r="F158" s="137">
        <f>'В2.Расчет стоимости часа'!P160</f>
        <v>577.58435426582002</v>
      </c>
      <c r="G158" s="138" t="s">
        <v>263</v>
      </c>
    </row>
    <row r="159" spans="1:7" ht="45" x14ac:dyDescent="0.25">
      <c r="A159" s="433">
        <v>9</v>
      </c>
      <c r="B159" s="439" t="str">
        <f>'В2.Расчет стоимости часа'!A161</f>
        <v>ТРАНСПОРТИРОВКА И ХРАНЕНИЕ</v>
      </c>
      <c r="C159" s="439" t="str">
        <f>'В2.Расчет стоимости часа'!B161</f>
        <v xml:space="preserve">    Деятельность сухопутного и трубопроводного транспорта</v>
      </c>
      <c r="D159" s="11" t="str">
        <f>'В2.Расчет стоимости часа'!C161</f>
        <v xml:space="preserve">        Деятельность железнодорожного транспорта: междугородные и международные пассажирские перевозки</v>
      </c>
      <c r="E159" s="137">
        <f>'В2.Расчет стоимости часа'!H161</f>
        <v>78046.649999999994</v>
      </c>
      <c r="F159" s="137">
        <f>'В2.Расчет стоимости часа'!P161</f>
        <v>668.04580450089134</v>
      </c>
      <c r="G159" s="138" t="s">
        <v>263</v>
      </c>
    </row>
    <row r="160" spans="1:7" ht="30" x14ac:dyDescent="0.25">
      <c r="A160" s="434"/>
      <c r="B160" s="440"/>
      <c r="C160" s="440"/>
      <c r="D160" s="11" t="str">
        <f>'В2.Расчет стоимости часа'!C162</f>
        <v xml:space="preserve">        Деятельность железнодорожного транспорта: грузовые перевозки</v>
      </c>
      <c r="E160" s="137">
        <f>'В2.Расчет стоимости часа'!H162</f>
        <v>91363.15</v>
      </c>
      <c r="F160" s="137">
        <f>'В2.Расчет стоимости часа'!P162</f>
        <v>779.48568791221044</v>
      </c>
      <c r="G160" s="138" t="s">
        <v>263</v>
      </c>
    </row>
    <row r="161" spans="1:7" ht="30" x14ac:dyDescent="0.25">
      <c r="A161" s="434"/>
      <c r="B161" s="440"/>
      <c r="C161" s="440"/>
      <c r="D161" s="11" t="str">
        <f>'В2.Расчет стоимости часа'!C163</f>
        <v xml:space="preserve">        Деятельность прочего сухопутного пассажирского транспорта</v>
      </c>
      <c r="E161" s="137">
        <f>'В2.Расчет стоимости часа'!H163</f>
        <v>59281.574999999997</v>
      </c>
      <c r="F161" s="137">
        <f>'В2.Расчет стоимости часа'!P163</f>
        <v>505.16796464182261</v>
      </c>
      <c r="G161" s="138" t="s">
        <v>263</v>
      </c>
    </row>
    <row r="162" spans="1:7" ht="30" x14ac:dyDescent="0.25">
      <c r="A162" s="434"/>
      <c r="B162" s="440"/>
      <c r="C162" s="440"/>
      <c r="D162" s="11" t="str">
        <f>'В2.Расчет стоимости часа'!C164</f>
        <v xml:space="preserve">        Деятельность автомобильного грузового транспорта и услуги по перевозкам</v>
      </c>
      <c r="E162" s="137">
        <f>'В2.Расчет стоимости часа'!H164</f>
        <v>54051.324999999997</v>
      </c>
      <c r="F162" s="137">
        <f>'В2.Расчет стоимости часа'!P164</f>
        <v>460.16026323250895</v>
      </c>
      <c r="G162" s="138" t="s">
        <v>263</v>
      </c>
    </row>
    <row r="163" spans="1:7" ht="30" x14ac:dyDescent="0.25">
      <c r="A163" s="434"/>
      <c r="B163" s="440"/>
      <c r="C163" s="441"/>
      <c r="D163" s="11" t="str">
        <f>'В2.Расчет стоимости часа'!C165</f>
        <v xml:space="preserve">        Деятельность трубопроводного транспорта</v>
      </c>
      <c r="E163" s="137">
        <f>'В2.Расчет стоимости часа'!H165</f>
        <v>110837.8</v>
      </c>
      <c r="F163" s="137">
        <f>'В2.Расчет стоимости часа'!P165</f>
        <v>943.92419075590476</v>
      </c>
      <c r="G163" s="138" t="s">
        <v>263</v>
      </c>
    </row>
    <row r="164" spans="1:7" ht="30" x14ac:dyDescent="0.25">
      <c r="A164" s="434"/>
      <c r="B164" s="440"/>
      <c r="C164" s="439" t="str">
        <f>'В2.Расчет стоимости часа'!B166</f>
        <v xml:space="preserve">    Деятельность водного транспорта</v>
      </c>
      <c r="D164" s="11" t="str">
        <f>'В2.Расчет стоимости часа'!C166</f>
        <v xml:space="preserve">        Деятельность морского пассажирского транспорта</v>
      </c>
      <c r="E164" s="137">
        <f>'В2.Расчет стоимости часа'!H166</f>
        <v>67680.900000000009</v>
      </c>
      <c r="F164" s="137">
        <f>'В2.Расчет стоимости часа'!P166</f>
        <v>578.46036158032541</v>
      </c>
      <c r="G164" s="138" t="s">
        <v>263</v>
      </c>
    </row>
    <row r="165" spans="1:7" ht="30" x14ac:dyDescent="0.25">
      <c r="A165" s="434"/>
      <c r="B165" s="440"/>
      <c r="C165" s="440"/>
      <c r="D165" s="11" t="str">
        <f>'В2.Расчет стоимости часа'!C167</f>
        <v xml:space="preserve">        Деятельность морского грузового транспорта</v>
      </c>
      <c r="E165" s="137">
        <f>'В2.Расчет стоимости часа'!H167</f>
        <v>170544.55</v>
      </c>
      <c r="F165" s="137">
        <f>'В2.Расчет стоимости часа'!P167</f>
        <v>1461.8406145655081</v>
      </c>
      <c r="G165" s="138" t="s">
        <v>263</v>
      </c>
    </row>
    <row r="166" spans="1:7" ht="30" x14ac:dyDescent="0.25">
      <c r="A166" s="434"/>
      <c r="B166" s="440"/>
      <c r="C166" s="440"/>
      <c r="D166" s="11" t="str">
        <f>'В2.Расчет стоимости часа'!C168</f>
        <v xml:space="preserve">        Деятельность внутреннего водного пассажирского транспорта</v>
      </c>
      <c r="E166" s="137">
        <f>'В2.Расчет стоимости часа'!H168</f>
        <v>36715.474999999999</v>
      </c>
      <c r="F166" s="137">
        <f>'В2.Расчет стоимости часа'!P168</f>
        <v>311.46480118315509</v>
      </c>
      <c r="G166" s="138" t="s">
        <v>263</v>
      </c>
    </row>
    <row r="167" spans="1:7" ht="30" x14ac:dyDescent="0.25">
      <c r="A167" s="434"/>
      <c r="B167" s="440"/>
      <c r="C167" s="441"/>
      <c r="D167" s="11" t="str">
        <f>'В2.Расчет стоимости часа'!C169</f>
        <v xml:space="preserve">        Деятельность внутреннего водного грузового транспорта</v>
      </c>
      <c r="E167" s="137">
        <f>'В2.Расчет стоимости часа'!H169</f>
        <v>62875.625</v>
      </c>
      <c r="F167" s="137">
        <f>'В2.Расчет стоимости часа'!P169</f>
        <v>532.6174064767157</v>
      </c>
      <c r="G167" s="138" t="s">
        <v>263</v>
      </c>
    </row>
    <row r="168" spans="1:7" ht="30" x14ac:dyDescent="0.25">
      <c r="A168" s="434"/>
      <c r="B168" s="440"/>
      <c r="C168" s="439" t="str">
        <f>'В2.Расчет стоимости часа'!B170</f>
        <v xml:space="preserve">    Деятельность воздушного и космического транспорта</v>
      </c>
      <c r="D168" s="11" t="str">
        <f>'В2.Расчет стоимости часа'!C170</f>
        <v xml:space="preserve">        Деятельность пассажирского воздушного транспорта</v>
      </c>
      <c r="E168" s="137">
        <f>'В2.Расчет стоимости часа'!H170</f>
        <v>150569.32500000001</v>
      </c>
      <c r="F168" s="137">
        <f>'В2.Расчет стоимости часа'!P170</f>
        <v>1280.0555340034539</v>
      </c>
      <c r="G168" s="138" t="s">
        <v>263</v>
      </c>
    </row>
    <row r="169" spans="1:7" ht="30" x14ac:dyDescent="0.25">
      <c r="A169" s="434"/>
      <c r="B169" s="440"/>
      <c r="C169" s="441"/>
      <c r="D169" s="11" t="str">
        <f>'В2.Расчет стоимости часа'!C171</f>
        <v xml:space="preserve">        Деятельность грузового воздушного транспорта и космического транспорта</v>
      </c>
      <c r="E169" s="137">
        <f>'В2.Расчет стоимости часа'!H171</f>
        <v>118751.8</v>
      </c>
      <c r="F169" s="137">
        <f>'В2.Расчет стоимости часа'!P171</f>
        <v>1011.5367067374109</v>
      </c>
      <c r="G169" s="138" t="s">
        <v>263</v>
      </c>
    </row>
    <row r="170" spans="1:7" ht="30" x14ac:dyDescent="0.25">
      <c r="A170" s="434"/>
      <c r="B170" s="440"/>
      <c r="C170" s="439" t="str">
        <f>'В2.Расчет стоимости часа'!B172</f>
        <v xml:space="preserve">    Складское хозяйство и вспомогательная транспортная деятельность</v>
      </c>
      <c r="D170" s="11" t="str">
        <f>'В2.Расчет стоимости часа'!C172</f>
        <v xml:space="preserve">        Деятельность по складированию и хранению</v>
      </c>
      <c r="E170" s="137">
        <f>'В2.Расчет стоимости часа'!H172</f>
        <v>57317.25</v>
      </c>
      <c r="F170" s="137">
        <f>'В2.Расчет стоимости часа'!P172</f>
        <v>488.08553788547238</v>
      </c>
      <c r="G170" s="138" t="s">
        <v>263</v>
      </c>
    </row>
    <row r="171" spans="1:7" ht="30" x14ac:dyDescent="0.25">
      <c r="A171" s="434"/>
      <c r="B171" s="440"/>
      <c r="C171" s="441"/>
      <c r="D171" s="11" t="str">
        <f>'В2.Расчет стоимости часа'!C173</f>
        <v xml:space="preserve">        Деятельность транспортная вспомогательная</v>
      </c>
      <c r="E171" s="137">
        <f>'В2.Расчет стоимости часа'!H173</f>
        <v>70823.5</v>
      </c>
      <c r="F171" s="137">
        <f>'В2.Расчет стоимости часа'!P173</f>
        <v>602.61846751949645</v>
      </c>
      <c r="G171" s="138" t="s">
        <v>263</v>
      </c>
    </row>
    <row r="172" spans="1:7" ht="30" x14ac:dyDescent="0.25">
      <c r="A172" s="434"/>
      <c r="B172" s="440"/>
      <c r="C172" s="439" t="str">
        <f>'В2.Расчет стоимости часа'!B174</f>
        <v xml:space="preserve">    Деятельность почтовой связи и курьерская деятельность</v>
      </c>
      <c r="D172" s="11" t="str">
        <f>'В2.Расчет стоимости часа'!C174</f>
        <v xml:space="preserve">        Деятельность почтовой связи общего пользования</v>
      </c>
      <c r="E172" s="137">
        <f>'В2.Расчет стоимости часа'!H174</f>
        <v>36258.575000000004</v>
      </c>
      <c r="F172" s="137">
        <f>'В2.Расчет стоимости часа'!P174</f>
        <v>310.86563918560608</v>
      </c>
      <c r="G172" s="138" t="s">
        <v>263</v>
      </c>
    </row>
    <row r="173" spans="1:7" ht="30" x14ac:dyDescent="0.25">
      <c r="A173" s="435"/>
      <c r="B173" s="441"/>
      <c r="C173" s="441"/>
      <c r="D173" s="11" t="str">
        <f>'В2.Расчет стоимости часа'!C175</f>
        <v xml:space="preserve">        Деятельность почтовой связи прочая и курьерская деятельность</v>
      </c>
      <c r="E173" s="137">
        <f>'В2.Расчет стоимости часа'!H175</f>
        <v>56761.3</v>
      </c>
      <c r="F173" s="137">
        <f>'В2.Расчет стоимости часа'!P175</f>
        <v>483.65209854612294</v>
      </c>
      <c r="G173" s="138" t="s">
        <v>263</v>
      </c>
    </row>
    <row r="174" spans="1:7" ht="30" x14ac:dyDescent="0.25">
      <c r="A174" s="433">
        <v>10</v>
      </c>
      <c r="B174" s="439" t="str">
        <f>'В2.Расчет стоимости часа'!A176</f>
        <v>ДЕЯТЕЛЬНОСТЬ ГОСТИНИЦ И ПРЕДПРИЯТИЙ ОБЩЕСТВЕННОГО ПИТАНИЯ</v>
      </c>
      <c r="C174" s="439" t="str">
        <f>'В2.Расчет стоимости часа'!B176</f>
        <v xml:space="preserve">    Деятельность по предоставлению мест для временного проживания</v>
      </c>
      <c r="D174" s="11" t="str">
        <f>'В2.Расчет стоимости часа'!C176</f>
        <v xml:space="preserve">        Деятельность гостиниц и прочих мест для временного проживания</v>
      </c>
      <c r="E174" s="137">
        <f>'В2.Расчет стоимости часа'!H176</f>
        <v>53831.875</v>
      </c>
      <c r="F174" s="137">
        <f>'В2.Расчет стоимости часа'!P176</f>
        <v>459.21141066677814</v>
      </c>
      <c r="G174" s="138" t="s">
        <v>263</v>
      </c>
    </row>
    <row r="175" spans="1:7" ht="30" x14ac:dyDescent="0.25">
      <c r="A175" s="434"/>
      <c r="B175" s="440"/>
      <c r="C175" s="440"/>
      <c r="D175" s="11" t="str">
        <f>'В2.Расчет стоимости часа'!C177</f>
        <v xml:space="preserve">        Деятельность по предоставлению мест для краткосрочного проживания</v>
      </c>
      <c r="E175" s="137">
        <f>'В2.Расчет стоимости часа'!H177</f>
        <v>43750.799999999996</v>
      </c>
      <c r="F175" s="137">
        <f>'В2.Расчет стоимости часа'!P177</f>
        <v>375.18095475935826</v>
      </c>
      <c r="G175" s="138" t="s">
        <v>263</v>
      </c>
    </row>
    <row r="176" spans="1:7" ht="60" x14ac:dyDescent="0.25">
      <c r="A176" s="434"/>
      <c r="B176" s="440"/>
      <c r="C176" s="440"/>
      <c r="D176" s="11" t="str">
        <f>'В2.Расчет стоимости часа'!C178</f>
        <v xml:space="preserve">        Деятельность по предоставлению мест для временного проживания в кемпингах, жилых автофургонах и туристических автоприцепах</v>
      </c>
      <c r="E176" s="137">
        <f>'В2.Расчет стоимости часа'!H178</f>
        <v>25790.199999999997</v>
      </c>
      <c r="F176" s="137">
        <f>'В2.Расчет стоимости часа'!P178</f>
        <v>220.71473514594476</v>
      </c>
      <c r="G176" s="138" t="s">
        <v>263</v>
      </c>
    </row>
    <row r="177" spans="1:7" ht="30" x14ac:dyDescent="0.25">
      <c r="A177" s="434"/>
      <c r="B177" s="440"/>
      <c r="C177" s="441"/>
      <c r="D177" s="11" t="str">
        <f>'В2.Расчет стоимости часа'!C179</f>
        <v xml:space="preserve">        Деятельность по предоставлению прочих мест для временного проживания</v>
      </c>
      <c r="E177" s="137">
        <f>'В2.Расчет стоимости часа'!H179</f>
        <v>44563.975000000006</v>
      </c>
      <c r="F177" s="137">
        <f>'В2.Расчет стоимости часа'!P179</f>
        <v>379.87042593415777</v>
      </c>
      <c r="G177" s="138" t="s">
        <v>263</v>
      </c>
    </row>
    <row r="178" spans="1:7" ht="30" x14ac:dyDescent="0.25">
      <c r="A178" s="434"/>
      <c r="B178" s="440"/>
      <c r="C178" s="439" t="str">
        <f>'В2.Расчет стоимости часа'!B180</f>
        <v xml:space="preserve">    Деятельность по предоставлению продуктов питания и напитков</v>
      </c>
      <c r="D178" s="11" t="str">
        <f>'В2.Расчет стоимости часа'!C180</f>
        <v xml:space="preserve">        Деятельность ресторанов и услуги по доставке продуктов питания</v>
      </c>
      <c r="E178" s="137">
        <f>'В2.Расчет стоимости часа'!H180</f>
        <v>35871.25</v>
      </c>
      <c r="F178" s="137">
        <f>'В2.Расчет стоимости часа'!P180</f>
        <v>306.61979835282978</v>
      </c>
      <c r="G178" s="138" t="s">
        <v>263</v>
      </c>
    </row>
    <row r="179" spans="1:7" ht="60" x14ac:dyDescent="0.25">
      <c r="A179" s="434"/>
      <c r="B179" s="440"/>
      <c r="C179" s="440"/>
      <c r="D179" s="11" t="str">
        <f>'В2.Расчет стоимости часа'!C181</f>
        <v xml:space="preserve">        Деятельность предприятий общественного питания по обслуживанию торжественных мероприятий и прочим видам организации питания</v>
      </c>
      <c r="E179" s="137">
        <f>'В2.Расчет стоимости часа'!H181</f>
        <v>40383.525000000001</v>
      </c>
      <c r="F179" s="137">
        <f>'В2.Расчет стоимости часа'!P181</f>
        <v>344.17849427250451</v>
      </c>
      <c r="G179" s="138" t="s">
        <v>263</v>
      </c>
    </row>
    <row r="180" spans="1:7" x14ac:dyDescent="0.25">
      <c r="A180" s="435"/>
      <c r="B180" s="441"/>
      <c r="C180" s="441"/>
      <c r="D180" s="11" t="str">
        <f>'В2.Расчет стоимости часа'!C182</f>
        <v xml:space="preserve">        Подача напитков</v>
      </c>
      <c r="E180" s="137">
        <f>'В2.Расчет стоимости часа'!H182</f>
        <v>26667.174999999999</v>
      </c>
      <c r="F180" s="137">
        <f>'В2.Расчет стоимости часа'!P182</f>
        <v>227.29495045677362</v>
      </c>
      <c r="G180" s="138" t="s">
        <v>263</v>
      </c>
    </row>
    <row r="181" spans="1:7" ht="45" x14ac:dyDescent="0.25">
      <c r="A181" s="433">
        <v>11</v>
      </c>
      <c r="B181" s="439" t="str">
        <f>'В2.Расчет стоимости часа'!A183</f>
        <v>ДЕЯТЕЛЬНОСТЬ В ОБЛАСТИ ИНФОРМАЦИИ И СВЯЗИ</v>
      </c>
      <c r="C181" s="439" t="str">
        <f>'В2.Расчет стоимости часа'!B183</f>
        <v xml:space="preserve">    Деятельность издательская</v>
      </c>
      <c r="D181" s="11" t="str">
        <f>'В2.Расчет стоимости часа'!C183</f>
        <v xml:space="preserve">        Издание книг, периодических публикаций и другие виды издательской деятельности</v>
      </c>
      <c r="E181" s="137">
        <f>'В2.Расчет стоимости часа'!H183</f>
        <v>58051.425000000003</v>
      </c>
      <c r="F181" s="137">
        <f>'В2.Расчет стоимости часа'!P183</f>
        <v>493.91342065118084</v>
      </c>
      <c r="G181" s="138" t="s">
        <v>263</v>
      </c>
    </row>
    <row r="182" spans="1:7" x14ac:dyDescent="0.25">
      <c r="A182" s="434"/>
      <c r="B182" s="440"/>
      <c r="C182" s="441"/>
      <c r="D182" s="11" t="str">
        <f>'В2.Расчет стоимости часа'!C184</f>
        <v xml:space="preserve">        Издание программного обеспечения</v>
      </c>
      <c r="E182" s="137">
        <f>'В2.Расчет стоимости часа'!H184</f>
        <v>87433.55</v>
      </c>
      <c r="F182" s="137">
        <f>'В2.Расчет стоимости часа'!P184</f>
        <v>742.14205335282975</v>
      </c>
      <c r="G182" s="138" t="s">
        <v>263</v>
      </c>
    </row>
    <row r="183" spans="1:7" ht="30" x14ac:dyDescent="0.25">
      <c r="A183" s="434"/>
      <c r="B183" s="440"/>
      <c r="C183" s="439" t="str">
        <f>'В2.Расчет стоимости часа'!B185</f>
        <v xml:space="preserve">    Производство кинофильмов, видеофильмов и телевизионных программ, издание звукозаписей и нот</v>
      </c>
      <c r="D183" s="11" t="str">
        <f>'В2.Расчет стоимости часа'!C185</f>
        <v xml:space="preserve">        Производство кинофильмов, видеофильмов и телевизионных программ</v>
      </c>
      <c r="E183" s="137">
        <f>'В2.Расчет стоимости часа'!H185</f>
        <v>82647.350000000006</v>
      </c>
      <c r="F183" s="137">
        <f>'В2.Расчет стоимости часа'!P185</f>
        <v>701.55557898897064</v>
      </c>
      <c r="G183" s="138" t="s">
        <v>263</v>
      </c>
    </row>
    <row r="184" spans="1:7" ht="30" x14ac:dyDescent="0.25">
      <c r="A184" s="434"/>
      <c r="B184" s="440"/>
      <c r="C184" s="441"/>
      <c r="D184" s="11" t="str">
        <f>'В2.Расчет стоимости часа'!C186</f>
        <v xml:space="preserve">        Деятельность в области звукозаписи и издания музыкальных произведений</v>
      </c>
      <c r="E184" s="137">
        <f>'В2.Расчет стоимости часа'!H186</f>
        <v>94263.475000000006</v>
      </c>
      <c r="F184" s="137">
        <f>'В2.Расчет стоимости часа'!P186</f>
        <v>798.44986633522717</v>
      </c>
      <c r="G184" s="138" t="s">
        <v>263</v>
      </c>
    </row>
    <row r="185" spans="1:7" x14ac:dyDescent="0.25">
      <c r="A185" s="434"/>
      <c r="B185" s="440"/>
      <c r="C185" s="439" t="str">
        <f>'В2.Расчет стоимости часа'!B187</f>
        <v xml:space="preserve">    Деятельность в области телевизионного и радиовещания</v>
      </c>
      <c r="D185" s="11" t="str">
        <f>'В2.Расчет стоимости часа'!C187</f>
        <v xml:space="preserve">        Деятельность в области радиовещания</v>
      </c>
      <c r="E185" s="137">
        <f>'В2.Расчет стоимости часа'!H187</f>
        <v>62974.074999999997</v>
      </c>
      <c r="F185" s="137">
        <f>'В2.Расчет стоимости часа'!P187</f>
        <v>535.85858904523172</v>
      </c>
      <c r="G185" s="138" t="s">
        <v>263</v>
      </c>
    </row>
    <row r="186" spans="1:7" ht="30" x14ac:dyDescent="0.25">
      <c r="A186" s="434"/>
      <c r="B186" s="440"/>
      <c r="C186" s="441"/>
      <c r="D186" s="11" t="str">
        <f>'В2.Расчет стоимости часа'!C188</f>
        <v xml:space="preserve">        Деятельность в области телевизионного вещания</v>
      </c>
      <c r="E186" s="137">
        <f>'В2.Расчет стоимости часа'!H188</f>
        <v>92726.55</v>
      </c>
      <c r="F186" s="137">
        <f>'В2.Расчет стоимости часа'!P188</f>
        <v>789.84765307486634</v>
      </c>
      <c r="G186" s="138" t="s">
        <v>263</v>
      </c>
    </row>
    <row r="187" spans="1:7" ht="30" x14ac:dyDescent="0.25">
      <c r="A187" s="434"/>
      <c r="B187" s="440"/>
      <c r="C187" s="439" t="str">
        <f>'В2.Расчет стоимости часа'!B189</f>
        <v xml:space="preserve">    Деятельность в сфере телекоммуникаций</v>
      </c>
      <c r="D187" s="11" t="str">
        <f>'В2.Расчет стоимости часа'!C189</f>
        <v xml:space="preserve">        Деятельность в области связи на базе проводных технологий</v>
      </c>
      <c r="E187" s="137">
        <f>'В2.Расчет стоимости часа'!H189</f>
        <v>82220.55</v>
      </c>
      <c r="F187" s="137">
        <f>'В2.Расчет стоимости часа'!P189</f>
        <v>693.24292655414445</v>
      </c>
      <c r="G187" s="138" t="s">
        <v>263</v>
      </c>
    </row>
    <row r="188" spans="1:7" ht="30" x14ac:dyDescent="0.25">
      <c r="A188" s="434"/>
      <c r="B188" s="440"/>
      <c r="C188" s="440"/>
      <c r="D188" s="11" t="str">
        <f>'В2.Расчет стоимости часа'!C190</f>
        <v xml:space="preserve">        Деятельность в области связи на базе беспроводных технологий</v>
      </c>
      <c r="E188" s="137">
        <f>'В2.Расчет стоимости часа'!H190</f>
        <v>123105.4</v>
      </c>
      <c r="F188" s="137">
        <f>'В2.Расчет стоимости часа'!P190</f>
        <v>1024.8490122164662</v>
      </c>
      <c r="G188" s="138" t="s">
        <v>263</v>
      </c>
    </row>
    <row r="189" spans="1:7" ht="30" x14ac:dyDescent="0.25">
      <c r="A189" s="434"/>
      <c r="B189" s="440"/>
      <c r="C189" s="440"/>
      <c r="D189" s="11" t="str">
        <f>'В2.Расчет стоимости часа'!C191</f>
        <v xml:space="preserve">        Деятельность в области спутниковой связи</v>
      </c>
      <c r="E189" s="137">
        <f>'В2.Расчет стоимости часа'!H191</f>
        <v>115880.45000000001</v>
      </c>
      <c r="F189" s="137">
        <f>'В2.Расчет стоимости часа'!P191</f>
        <v>984.35610314672454</v>
      </c>
      <c r="G189" s="138" t="s">
        <v>263</v>
      </c>
    </row>
    <row r="190" spans="1:7" ht="30" x14ac:dyDescent="0.25">
      <c r="A190" s="434"/>
      <c r="B190" s="440"/>
      <c r="C190" s="441"/>
      <c r="D190" s="11" t="str">
        <f>'В2.Расчет стоимости часа'!C192</f>
        <v xml:space="preserve">        Деятельность в области телекоммуникаций прочая</v>
      </c>
      <c r="E190" s="137">
        <f>'В2.Расчет стоимости часа'!H192</f>
        <v>106064.65</v>
      </c>
      <c r="F190" s="137">
        <f>'В2.Расчет стоимости часа'!P192</f>
        <v>900.09691869875223</v>
      </c>
      <c r="G190" s="138" t="s">
        <v>263</v>
      </c>
    </row>
    <row r="191" spans="1:7" ht="75" x14ac:dyDescent="0.25">
      <c r="A191" s="434"/>
      <c r="B191" s="440"/>
      <c r="C191" s="130" t="str">
        <f>'В2.Расчет стоимости часа'!B193</f>
        <v xml:space="preserve">    Разработка компьютерного программного обеспечения, консультационные услуги в данной области и другие сопутствующие услуги</v>
      </c>
      <c r="D191" s="11" t="str">
        <f>'В2.Расчет стоимости часа'!C193</f>
        <v xml:space="preserve">        Разработка компьютерного программного обеспечения, консультационные услуги в данной области и другие сопутствующие услуги</v>
      </c>
      <c r="E191" s="137">
        <f>'В2.Расчет стоимости часа'!H193</f>
        <v>156797.15</v>
      </c>
      <c r="F191" s="137">
        <f>'В2.Расчет стоимости часа'!P193</f>
        <v>1332.2300345298574</v>
      </c>
      <c r="G191" s="138" t="s">
        <v>263</v>
      </c>
    </row>
    <row r="192" spans="1:7" ht="75" x14ac:dyDescent="0.25">
      <c r="A192" s="434"/>
      <c r="B192" s="440"/>
      <c r="C192" s="439" t="str">
        <f>'В2.Расчет стоимости часа'!B194</f>
        <v xml:space="preserve">    Деятельность в области информационных технологий</v>
      </c>
      <c r="D192" s="11" t="str">
        <f>'В2.Расчет стоимости часа'!C194</f>
        <v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v>
      </c>
      <c r="E192" s="137">
        <f>'В2.Расчет стоимости часа'!H194</f>
        <v>114887.69999999998</v>
      </c>
      <c r="F192" s="137">
        <f>'В2.Расчет стоимости часа'!P194</f>
        <v>978.3801883528298</v>
      </c>
      <c r="G192" s="138" t="s">
        <v>263</v>
      </c>
    </row>
    <row r="193" spans="1:7" ht="30" x14ac:dyDescent="0.25">
      <c r="A193" s="435"/>
      <c r="B193" s="441"/>
      <c r="C193" s="441"/>
      <c r="D193" s="11" t="str">
        <f>'В2.Расчет стоимости часа'!C195</f>
        <v xml:space="preserve">        Деятельность в области информационных услуг прочая</v>
      </c>
      <c r="E193" s="137">
        <f>'В2.Расчет стоимости часа'!H195</f>
        <v>85395.6</v>
      </c>
      <c r="F193" s="137">
        <f>'В2.Расчет стоимости часа'!P195</f>
        <v>724.0725405938058</v>
      </c>
      <c r="G193" s="138" t="s">
        <v>263</v>
      </c>
    </row>
    <row r="194" spans="1:7" x14ac:dyDescent="0.25">
      <c r="A194" s="433">
        <v>12</v>
      </c>
      <c r="B194" s="439" t="str">
        <f>'В2.Расчет стоимости часа'!A196</f>
        <v>ДЕЯТЕЛЬНОСТЬ ФИНАНСОВАЯ И СТРАХОВАЯ</v>
      </c>
      <c r="C194" s="439" t="str">
        <f>'В2.Расчет стоимости часа'!B196</f>
        <v xml:space="preserve">    Деятельность по предоставлению финансовых услуг, кроме услуг по страхованию и пенсионному обеспечению</v>
      </c>
      <c r="D194" s="11" t="str">
        <f>'В2.Расчет стоимости часа'!C196</f>
        <v xml:space="preserve">        Денежное посредничество</v>
      </c>
      <c r="E194" s="137">
        <f>'В2.Расчет стоимости часа'!H196</f>
        <v>157689.42499999999</v>
      </c>
      <c r="F194" s="137">
        <f>'В2.Расчет стоимости часа'!P196</f>
        <v>1330.5288118259805</v>
      </c>
      <c r="G194" s="138" t="s">
        <v>263</v>
      </c>
    </row>
    <row r="195" spans="1:7" x14ac:dyDescent="0.25">
      <c r="A195" s="434"/>
      <c r="B195" s="440"/>
      <c r="C195" s="440"/>
      <c r="D195" s="11" t="str">
        <f>'В2.Расчет стоимости часа'!C197</f>
        <v xml:space="preserve">        Деятельность холдинговых компаний</v>
      </c>
      <c r="E195" s="137">
        <f>'В2.Расчет стоимости часа'!H197</f>
        <v>419781.55</v>
      </c>
      <c r="F195" s="137">
        <f>'В2.Расчет стоимости часа'!P197</f>
        <v>3545.9107247309494</v>
      </c>
      <c r="G195" s="138" t="s">
        <v>263</v>
      </c>
    </row>
    <row r="196" spans="1:7" ht="30" x14ac:dyDescent="0.25">
      <c r="A196" s="434"/>
      <c r="B196" s="440"/>
      <c r="C196" s="440"/>
      <c r="D196" s="11" t="str">
        <f>'В2.Расчет стоимости часа'!C198</f>
        <v xml:space="preserve">        Деятельность инвестиционных фондов и аналогичных финансовых организаций</v>
      </c>
      <c r="E196" s="137">
        <f>'В2.Расчет стоимости часа'!H198</f>
        <v>240604.42499999999</v>
      </c>
      <c r="F196" s="137">
        <f>'В2.Расчет стоимости часа'!P198</f>
        <v>2009.9806046078429</v>
      </c>
      <c r="G196" s="138" t="s">
        <v>263</v>
      </c>
    </row>
    <row r="197" spans="1:7" ht="45" x14ac:dyDescent="0.25">
      <c r="A197" s="434"/>
      <c r="B197" s="440"/>
      <c r="C197" s="441"/>
      <c r="D197" s="11" t="str">
        <f>'В2.Расчет стоимости часа'!C199</f>
        <v xml:space="preserve">        Деятельность по предоставлению прочих финансовых услуг, кроме услуг по страхованию и пенсионному обеспечению</v>
      </c>
      <c r="E197" s="137">
        <f>'В2.Расчет стоимости часа'!H199</f>
        <v>133937.625</v>
      </c>
      <c r="F197" s="137">
        <f>'В2.Расчет стоимости часа'!P199</f>
        <v>1135.1472393114975</v>
      </c>
      <c r="G197" s="138" t="s">
        <v>263</v>
      </c>
    </row>
    <row r="198" spans="1:7" x14ac:dyDescent="0.25">
      <c r="A198" s="434"/>
      <c r="B198" s="440"/>
      <c r="C198" s="439" t="str">
        <f>'В2.Расчет стоимости часа'!B200</f>
        <v xml:space="preserve">    Страхование, перестрахование, деятельность негосударственных пенсионных фондов, кроме обязательного социального обеспечения</v>
      </c>
      <c r="D198" s="11" t="str">
        <f>'В2.Расчет стоимости часа'!C200</f>
        <v xml:space="preserve">        Страхование</v>
      </c>
      <c r="E198" s="137">
        <f>'В2.Расчет стоимости часа'!H200</f>
        <v>132229.29999999999</v>
      </c>
      <c r="F198" s="137">
        <f>'В2.Расчет стоимости часа'!P200</f>
        <v>1106.7807412371881</v>
      </c>
      <c r="G198" s="138" t="s">
        <v>263</v>
      </c>
    </row>
    <row r="199" spans="1:7" x14ac:dyDescent="0.25">
      <c r="A199" s="434"/>
      <c r="B199" s="440"/>
      <c r="C199" s="440"/>
      <c r="D199" s="11" t="str">
        <f>'В2.Расчет стоимости часа'!C201</f>
        <v xml:space="preserve">        Перестрахование</v>
      </c>
      <c r="E199" s="137">
        <f>'В2.Расчет стоимости часа'!H201</f>
        <v>521487.05000000005</v>
      </c>
      <c r="F199" s="137">
        <f>'В2.Расчет стоимости часа'!P201</f>
        <v>4311.5615272370769</v>
      </c>
      <c r="G199" s="138" t="s">
        <v>263</v>
      </c>
    </row>
    <row r="200" spans="1:7" ht="30" x14ac:dyDescent="0.25">
      <c r="A200" s="434"/>
      <c r="B200" s="440"/>
      <c r="C200" s="441"/>
      <c r="D200" s="11" t="str">
        <f>'В2.Расчет стоимости часа'!C202</f>
        <v xml:space="preserve">        Деятельность негосударственных пенсионных фондов</v>
      </c>
      <c r="E200" s="137">
        <f>'В2.Расчет стоимости часа'!H202</f>
        <v>200920.7</v>
      </c>
      <c r="F200" s="137">
        <f>'В2.Расчет стоимости часа'!P202</f>
        <v>1670.508640161542</v>
      </c>
      <c r="G200" s="138" t="s">
        <v>263</v>
      </c>
    </row>
    <row r="201" spans="1:7" ht="45" x14ac:dyDescent="0.25">
      <c r="A201" s="434"/>
      <c r="B201" s="440"/>
      <c r="C201" s="439" t="str">
        <f>'В2.Расчет стоимости часа'!B203</f>
        <v xml:space="preserve">    Деятельность вспомогательная в сфере финансовых услуг и страхования</v>
      </c>
      <c r="D201" s="11" t="str">
        <f>'В2.Расчет стоимости часа'!C203</f>
        <v xml:space="preserve">        Деятельность вспомогательная в сфере финансовых услуг, кроме страхования и пенсионного обеспечения</v>
      </c>
      <c r="E201" s="137">
        <f>'В2.Расчет стоимости часа'!H203</f>
        <v>221110.97499999998</v>
      </c>
      <c r="F201" s="137">
        <f>'В2.Расчет стоимости часа'!P203</f>
        <v>1809.2082633840243</v>
      </c>
      <c r="G201" s="138" t="s">
        <v>263</v>
      </c>
    </row>
    <row r="202" spans="1:7" ht="30" x14ac:dyDescent="0.25">
      <c r="A202" s="434"/>
      <c r="B202" s="440"/>
      <c r="C202" s="440"/>
      <c r="D202" s="11" t="str">
        <f>'В2.Расчет стоимости часа'!C204</f>
        <v xml:space="preserve">        Деятельность вспомогательная в сфере страхования и пенсионного обеспечения</v>
      </c>
      <c r="E202" s="137">
        <f>'В2.Расчет стоимости часа'!H204</f>
        <v>99344.175000000003</v>
      </c>
      <c r="F202" s="137">
        <f>'В2.Расчет стоимости часа'!P204</f>
        <v>842.37225720922459</v>
      </c>
      <c r="G202" s="138" t="s">
        <v>263</v>
      </c>
    </row>
    <row r="203" spans="1:7" x14ac:dyDescent="0.25">
      <c r="A203" s="435"/>
      <c r="B203" s="441"/>
      <c r="C203" s="441"/>
      <c r="D203" s="11" t="str">
        <f>'В2.Расчет стоимости часа'!C205</f>
        <v xml:space="preserve">        Деятельность по управлению фондами</v>
      </c>
      <c r="E203" s="137">
        <f>'В2.Расчет стоимости часа'!H205</f>
        <v>356788.65</v>
      </c>
      <c r="F203" s="137">
        <f>'В2.Расчет стоимости часа'!P205</f>
        <v>3028.9356596618763</v>
      </c>
      <c r="G203" s="138" t="s">
        <v>263</v>
      </c>
    </row>
    <row r="204" spans="1:7" ht="30" x14ac:dyDescent="0.25">
      <c r="A204" s="433">
        <v>13</v>
      </c>
      <c r="B204" s="439" t="str">
        <f>'В2.Расчет стоимости часа'!A206</f>
        <v>ДЕЯТЕЛЬНОСТЬ ПО ОПЕРАЦИЯМ С НЕДВИЖИМЫМ ИМУЩЕСТВОМ</v>
      </c>
      <c r="C204" s="439" t="str">
        <f>'В2.Расчет стоимости часа'!B206</f>
        <v xml:space="preserve">    Операции с недвижимым имуществом</v>
      </c>
      <c r="D204" s="11" t="str">
        <f>'В2.Расчет стоимости часа'!C206</f>
        <v xml:space="preserve">        Покупка и продажа собственного недвижимого имущества</v>
      </c>
      <c r="E204" s="137">
        <f>'В2.Расчет стоимости часа'!H206</f>
        <v>65006.75</v>
      </c>
      <c r="F204" s="137">
        <f>'В2.Расчет стоимости часа'!P206</f>
        <v>551.3126349643494</v>
      </c>
      <c r="G204" s="138" t="s">
        <v>263</v>
      </c>
    </row>
    <row r="205" spans="1:7" ht="30" x14ac:dyDescent="0.25">
      <c r="A205" s="434"/>
      <c r="B205" s="440"/>
      <c r="C205" s="440"/>
      <c r="D205" s="11" t="str">
        <f>'В2.Расчет стоимости часа'!C207</f>
        <v xml:space="preserve">        Аренда и управление собственным или арендованным недвижимым имуществом</v>
      </c>
      <c r="E205" s="137">
        <f>'В2.Расчет стоимости часа'!H207</f>
        <v>55653.2</v>
      </c>
      <c r="F205" s="137">
        <f>'В2.Расчет стоимости часа'!P207</f>
        <v>474.13458866588678</v>
      </c>
      <c r="G205" s="138" t="s">
        <v>263</v>
      </c>
    </row>
    <row r="206" spans="1:7" ht="30" x14ac:dyDescent="0.25">
      <c r="A206" s="435"/>
      <c r="B206" s="441"/>
      <c r="C206" s="441"/>
      <c r="D206" s="11" t="str">
        <f>'В2.Расчет стоимости часа'!C208</f>
        <v xml:space="preserve">        Операции с недвижимым имуществом за вознаграждение или на договорной основе</v>
      </c>
      <c r="E206" s="137">
        <f>'В2.Расчет стоимости часа'!H208</f>
        <v>47735.175000000003</v>
      </c>
      <c r="F206" s="137">
        <f>'В2.Расчет стоимости часа'!P208</f>
        <v>406.03122380960349</v>
      </c>
      <c r="G206" s="138" t="s">
        <v>263</v>
      </c>
    </row>
    <row r="207" spans="1:7" x14ac:dyDescent="0.25">
      <c r="A207" s="433">
        <v>14</v>
      </c>
      <c r="B207" s="439" t="str">
        <f>'В2.Расчет стоимости часа'!A209</f>
        <v>ДЕЯТЕЛЬНОСТЬ ПРОФЕССИОНАЛЬНАЯ, НАУЧНАЯ И ТЕХНИЧЕСКАЯ</v>
      </c>
      <c r="C207" s="439" t="str">
        <f>'В2.Расчет стоимости часа'!B209</f>
        <v xml:space="preserve">    Деятельность в области права и бухгалтерского учета</v>
      </c>
      <c r="D207" s="11" t="str">
        <f>'В2.Расчет стоимости часа'!C209</f>
        <v xml:space="preserve">        Деятельность в области права</v>
      </c>
      <c r="E207" s="137">
        <f>'В2.Расчет стоимости часа'!H209</f>
        <v>58610.575000000004</v>
      </c>
      <c r="F207" s="137">
        <f>'В2.Расчет стоимости часа'!P209</f>
        <v>496.48463058767817</v>
      </c>
      <c r="G207" s="138" t="s">
        <v>263</v>
      </c>
    </row>
    <row r="208" spans="1:7" ht="60" x14ac:dyDescent="0.25">
      <c r="A208" s="434"/>
      <c r="B208" s="440"/>
      <c r="C208" s="441"/>
      <c r="D208" s="11" t="str">
        <f>'В2.Расчет стоимости часа'!C210</f>
        <v xml:space="preserve">        Деятельность по оказанию услуг в области бухгалтерского учета, по проведению финансового аудита, по налоговому консультированию</v>
      </c>
      <c r="E208" s="137">
        <f>'В2.Расчет стоимости часа'!H210</f>
        <v>62612.224999999999</v>
      </c>
      <c r="F208" s="137">
        <f>'В2.Расчет стоимости часа'!P210</f>
        <v>534.41386488636363</v>
      </c>
      <c r="G208" s="138" t="s">
        <v>263</v>
      </c>
    </row>
    <row r="209" spans="1:7" x14ac:dyDescent="0.25">
      <c r="A209" s="434"/>
      <c r="B209" s="440"/>
      <c r="C209" s="439" t="str">
        <f>'В2.Расчет стоимости часа'!B211</f>
        <v xml:space="preserve">    Деятельность головных офисов; консультирование по вопросам управления</v>
      </c>
      <c r="D209" s="11" t="str">
        <f>'В2.Расчет стоимости часа'!C211</f>
        <v xml:space="preserve">        Деятельность головных офисов</v>
      </c>
      <c r="E209" s="137">
        <f>'В2.Расчет стоимости часа'!H211</f>
        <v>285520.3</v>
      </c>
      <c r="F209" s="137">
        <f>'В2.Расчет стоимости часа'!P211</f>
        <v>2392.6923240067958</v>
      </c>
      <c r="G209" s="138" t="s">
        <v>263</v>
      </c>
    </row>
    <row r="210" spans="1:7" ht="30" x14ac:dyDescent="0.25">
      <c r="A210" s="434"/>
      <c r="B210" s="440"/>
      <c r="C210" s="441"/>
      <c r="D210" s="11" t="str">
        <f>'В2.Расчет стоимости часа'!C212</f>
        <v xml:space="preserve">        Консультирование по вопросам управления</v>
      </c>
      <c r="E210" s="137">
        <f>'В2.Расчет стоимости часа'!H212</f>
        <v>140393.27500000002</v>
      </c>
      <c r="F210" s="137">
        <f>'В2.Расчет стоимости часа'!P212</f>
        <v>1186.4215105269609</v>
      </c>
      <c r="G210" s="138" t="s">
        <v>263</v>
      </c>
    </row>
    <row r="211" spans="1:7" ht="45" x14ac:dyDescent="0.25">
      <c r="A211" s="434"/>
      <c r="B211" s="440"/>
      <c r="C211" s="439" t="str">
        <f>'В2.Расчет стоимости часа'!B213</f>
        <v xml:space="preserve">    Деятельность в области архитектуры и инженерно-технического проектирования; технических испытаний, исследований и анализа</v>
      </c>
      <c r="D211" s="11" t="str">
        <f>'В2.Расчет стоимости часа'!C213</f>
        <v xml:space="preserve">        Деятельность в области архитектуры, инженерных изысканий и предоставление технических консультаций в этих областях</v>
      </c>
      <c r="E211" s="137">
        <f>'В2.Расчет стоимости часа'!H213</f>
        <v>96543.075000000012</v>
      </c>
      <c r="F211" s="137">
        <f>'В2.Расчет стоимости часа'!P213</f>
        <v>819.52296273952766</v>
      </c>
      <c r="G211" s="138" t="s">
        <v>263</v>
      </c>
    </row>
    <row r="212" spans="1:7" ht="30" x14ac:dyDescent="0.25">
      <c r="A212" s="434"/>
      <c r="B212" s="440"/>
      <c r="C212" s="441"/>
      <c r="D212" s="11" t="str">
        <f>'В2.Расчет стоимости часа'!C214</f>
        <v xml:space="preserve">        Технические испытания, исследования, анализ и сертификация</v>
      </c>
      <c r="E212" s="137">
        <f>'В2.Расчет стоимости часа'!H214</f>
        <v>81705.850000000006</v>
      </c>
      <c r="F212" s="137">
        <f>'В2.Расчет стоимости часа'!P214</f>
        <v>692.20423995320857</v>
      </c>
      <c r="G212" s="138" t="s">
        <v>263</v>
      </c>
    </row>
    <row r="213" spans="1:7" ht="30" x14ac:dyDescent="0.25">
      <c r="A213" s="434"/>
      <c r="B213" s="440"/>
      <c r="C213" s="439" t="str">
        <f>'В2.Расчет стоимости часа'!B215</f>
        <v xml:space="preserve">    Научные исследования и разработки</v>
      </c>
      <c r="D213" s="11" t="str">
        <f>'В2.Расчет стоимости часа'!C215</f>
        <v xml:space="preserve">        Научные исследования и разработки в области естественных и технических наук</v>
      </c>
      <c r="E213" s="137">
        <f>'В2.Расчет стоимости часа'!H215</f>
        <v>106347.47500000001</v>
      </c>
      <c r="F213" s="137">
        <f>'В2.Расчет стоимости часа'!P215</f>
        <v>902.67309417836452</v>
      </c>
      <c r="G213" s="138" t="s">
        <v>263</v>
      </c>
    </row>
    <row r="214" spans="1:7" ht="30" x14ac:dyDescent="0.25">
      <c r="A214" s="434"/>
      <c r="B214" s="440"/>
      <c r="C214" s="441"/>
      <c r="D214" s="11" t="str">
        <f>'В2.Расчет стоимости часа'!C216</f>
        <v xml:space="preserve">        Научные исследования и разработки в области общественных и гуманитарных наук</v>
      </c>
      <c r="E214" s="137">
        <f>'В2.Расчет стоимости часа'!H216</f>
        <v>95911.950000000012</v>
      </c>
      <c r="F214" s="137">
        <f>'В2.Расчет стоимости часа'!P216</f>
        <v>806.89993034536553</v>
      </c>
      <c r="G214" s="138" t="s">
        <v>263</v>
      </c>
    </row>
    <row r="215" spans="1:7" x14ac:dyDescent="0.25">
      <c r="A215" s="434"/>
      <c r="B215" s="440"/>
      <c r="C215" s="439" t="str">
        <f>'В2.Расчет стоимости часа'!B217</f>
        <v xml:space="preserve">    Деятельность рекламная и исследование конъюнктуры рынка</v>
      </c>
      <c r="D215" s="11" t="str">
        <f>'В2.Расчет стоимости часа'!C217</f>
        <v xml:space="preserve">        Деятельность рекламная</v>
      </c>
      <c r="E215" s="137">
        <f>'В2.Расчет стоимости часа'!H217</f>
        <v>86855.75</v>
      </c>
      <c r="F215" s="137">
        <f>'В2.Расчет стоимости часа'!P217</f>
        <v>734.23647548741076</v>
      </c>
      <c r="G215" s="138" t="s">
        <v>263</v>
      </c>
    </row>
    <row r="216" spans="1:7" ht="30" x14ac:dyDescent="0.25">
      <c r="A216" s="434"/>
      <c r="B216" s="440"/>
      <c r="C216" s="441"/>
      <c r="D216" s="11" t="str">
        <f>'В2.Расчет стоимости часа'!C218</f>
        <v xml:space="preserve">        Исследование конъюнктуры рынка и изучение общественного мнения</v>
      </c>
      <c r="E216" s="137">
        <f>'В2.Расчет стоимости часа'!H218</f>
        <v>155164.32500000001</v>
      </c>
      <c r="F216" s="137">
        <f>'В2.Расчет стоимости часа'!P218</f>
        <v>1312.8276912589126</v>
      </c>
      <c r="G216" s="138" t="s">
        <v>263</v>
      </c>
    </row>
    <row r="217" spans="1:7" ht="30" x14ac:dyDescent="0.25">
      <c r="A217" s="434"/>
      <c r="B217" s="440"/>
      <c r="C217" s="439" t="str">
        <f>'В2.Расчет стоимости часа'!B219</f>
        <v xml:space="preserve">    Деятельность профессиональная научная и техническая прочая</v>
      </c>
      <c r="D217" s="11" t="str">
        <f>'В2.Расчет стоимости часа'!C219</f>
        <v xml:space="preserve">        Деятельность специализированная в области дизайна</v>
      </c>
      <c r="E217" s="137">
        <f>'В2.Расчет стоимости часа'!H219</f>
        <v>80071.774999999994</v>
      </c>
      <c r="F217" s="137">
        <f>'В2.Расчет стоимости часа'!P219</f>
        <v>678.27863072972377</v>
      </c>
      <c r="G217" s="138" t="s">
        <v>263</v>
      </c>
    </row>
    <row r="218" spans="1:7" x14ac:dyDescent="0.25">
      <c r="A218" s="434"/>
      <c r="B218" s="440"/>
      <c r="C218" s="440"/>
      <c r="D218" s="11" t="str">
        <f>'В2.Расчет стоимости часа'!C220</f>
        <v xml:space="preserve">        Деятельность в области фотографии</v>
      </c>
      <c r="E218" s="137">
        <f>'В2.Расчет стоимости часа'!H220</f>
        <v>26376.325000000001</v>
      </c>
      <c r="F218" s="137">
        <f>'В2.Расчет стоимости часа'!P220</f>
        <v>225.06917630737524</v>
      </c>
      <c r="G218" s="138" t="s">
        <v>263</v>
      </c>
    </row>
    <row r="219" spans="1:7" ht="30" x14ac:dyDescent="0.25">
      <c r="A219" s="434"/>
      <c r="B219" s="440"/>
      <c r="C219" s="440"/>
      <c r="D219" s="11" t="str">
        <f>'В2.Расчет стоимости часа'!C221</f>
        <v xml:space="preserve">        Деятельность по письменному и устному переводу</v>
      </c>
      <c r="E219" s="137">
        <f>'В2.Расчет стоимости часа'!H221</f>
        <v>35566</v>
      </c>
      <c r="F219" s="137">
        <f>'В2.Расчет стоимости часа'!P221</f>
        <v>304.01731742535651</v>
      </c>
      <c r="G219" s="138" t="s">
        <v>263</v>
      </c>
    </row>
    <row r="220" spans="1:7" ht="45" x14ac:dyDescent="0.25">
      <c r="A220" s="434"/>
      <c r="B220" s="440"/>
      <c r="C220" s="441"/>
      <c r="D220" s="11" t="str">
        <f>'В2.Расчет стоимости часа'!C222</f>
        <v xml:space="preserve">        Деятельность профессиональная, научная и техническая прочая, не включенная в другие группировки</v>
      </c>
      <c r="E220" s="137">
        <f>'В2.Расчет стоимости часа'!H222</f>
        <v>84586.7</v>
      </c>
      <c r="F220" s="137">
        <f>'В2.Расчет стоимости часа'!P222</f>
        <v>718.34518484291459</v>
      </c>
      <c r="G220" s="138" t="s">
        <v>263</v>
      </c>
    </row>
    <row r="221" spans="1:7" x14ac:dyDescent="0.25">
      <c r="A221" s="435"/>
      <c r="B221" s="441"/>
      <c r="C221" s="130" t="str">
        <f>'В2.Расчет стоимости часа'!B223</f>
        <v xml:space="preserve">    Деятельность ветеринарная</v>
      </c>
      <c r="D221" s="11" t="str">
        <f>'В2.Расчет стоимости часа'!C223</f>
        <v xml:space="preserve">        Деятельность ветеринарная</v>
      </c>
      <c r="E221" s="137">
        <f>'В2.Расчет стоимости часа'!H223</f>
        <v>40641.424999999996</v>
      </c>
      <c r="F221" s="137">
        <f>'В2.Расчет стоимости часа'!P223</f>
        <v>346.07841594195639</v>
      </c>
      <c r="G221" s="138" t="s">
        <v>263</v>
      </c>
    </row>
    <row r="222" spans="1:7" ht="30" x14ac:dyDescent="0.25">
      <c r="A222" s="433">
        <v>15</v>
      </c>
      <c r="B222" s="439" t="str">
        <f>'В2.Расчет стоимости часа'!A224</f>
        <v>ДЕЯТЕЛЬНОСТЬ АДМИНИСТРАТИВНАЯ И СОПУТСТВУЮЩИЕ ДОПОЛНИТЕЛЬНЫЕ УСЛУГИ</v>
      </c>
      <c r="C222" s="439" t="str">
        <f>'В2.Расчет стоимости часа'!B224</f>
        <v xml:space="preserve">    Аренда и лизинг</v>
      </c>
      <c r="D222" s="11" t="str">
        <f>'В2.Расчет стоимости часа'!C224</f>
        <v xml:space="preserve">        Аренда и лизинг автотранспортных средств</v>
      </c>
      <c r="E222" s="137">
        <f>'В2.Расчет стоимости часа'!H224</f>
        <v>69901.799999999988</v>
      </c>
      <c r="F222" s="137">
        <f>'В2.Расчет стоимости часа'!P224</f>
        <v>593.9130936775847</v>
      </c>
      <c r="G222" s="138" t="s">
        <v>263</v>
      </c>
    </row>
    <row r="223" spans="1:7" ht="45" x14ac:dyDescent="0.25">
      <c r="A223" s="434"/>
      <c r="B223" s="440"/>
      <c r="C223" s="440"/>
      <c r="D223" s="11" t="str">
        <f>'В2.Расчет стоимости часа'!C225</f>
        <v xml:space="preserve">        Прокат и аренда предметов личного пользования и хозяйственно-бытового назначения</v>
      </c>
      <c r="E223" s="137">
        <f>'В2.Расчет стоимости часа'!H225</f>
        <v>70666.574999999997</v>
      </c>
      <c r="F223" s="137">
        <f>'В2.Расчет стоимости часа'!P225</f>
        <v>598.64680700868985</v>
      </c>
      <c r="G223" s="138" t="s">
        <v>263</v>
      </c>
    </row>
    <row r="224" spans="1:7" ht="30" x14ac:dyDescent="0.25">
      <c r="A224" s="434"/>
      <c r="B224" s="440"/>
      <c r="C224" s="440"/>
      <c r="D224" s="11" t="str">
        <f>'В2.Расчет стоимости часа'!C226</f>
        <v xml:space="preserve">        Аренда и лизинг прочих машин и оборудования и материальных средств</v>
      </c>
      <c r="E224" s="137">
        <f>'В2.Расчет стоимости часа'!H226</f>
        <v>72743.425000000003</v>
      </c>
      <c r="F224" s="137">
        <f>'В2.Расчет стоимости часа'!P226</f>
        <v>620.93114333221922</v>
      </c>
      <c r="G224" s="138" t="s">
        <v>263</v>
      </c>
    </row>
    <row r="225" spans="1:7" ht="45" x14ac:dyDescent="0.25">
      <c r="A225" s="434"/>
      <c r="B225" s="440"/>
      <c r="C225" s="441"/>
      <c r="D225" s="11" t="str">
        <f>'В2.Расчет стоимости часа'!C227</f>
        <v xml:space="preserve">        Аренда интеллектуальной собственности и подобной продукции, кроме авторских прав</v>
      </c>
      <c r="E225" s="137">
        <f>'В2.Расчет стоимости часа'!H227</f>
        <v>63497.799999999996</v>
      </c>
      <c r="F225" s="137">
        <f>'В2.Расчет стоимости часа'!P227</f>
        <v>540.2464379562166</v>
      </c>
      <c r="G225" s="138" t="s">
        <v>263</v>
      </c>
    </row>
    <row r="226" spans="1:7" ht="30" x14ac:dyDescent="0.25">
      <c r="A226" s="434"/>
      <c r="B226" s="440"/>
      <c r="C226" s="439" t="str">
        <f>'В2.Расчет стоимости часа'!B228</f>
        <v xml:space="preserve">    Деятельность по трудоустройству и подбору персонала</v>
      </c>
      <c r="D226" s="11" t="str">
        <f>'В2.Расчет стоимости часа'!C228</f>
        <v xml:space="preserve">        Деятельность агентств по подбору персонала</v>
      </c>
      <c r="E226" s="137">
        <f>'В2.Расчет стоимости часа'!H228</f>
        <v>41904.850000000006</v>
      </c>
      <c r="F226" s="137">
        <f>'В2.Расчет стоимости часа'!P228</f>
        <v>354.11731245710786</v>
      </c>
      <c r="G226" s="138" t="s">
        <v>263</v>
      </c>
    </row>
    <row r="227" spans="1:7" ht="30" x14ac:dyDescent="0.25">
      <c r="A227" s="434"/>
      <c r="B227" s="440"/>
      <c r="C227" s="440"/>
      <c r="D227" s="11" t="str">
        <f>'В2.Расчет стоимости часа'!C229</f>
        <v xml:space="preserve">        Деятельность агентств по временному трудоустройству</v>
      </c>
      <c r="E227" s="137">
        <f>'В2.Расчет стоимости часа'!H229</f>
        <v>41177.425000000003</v>
      </c>
      <c r="F227" s="137">
        <f>'В2.Расчет стоимости часа'!P229</f>
        <v>350.12553967747323</v>
      </c>
      <c r="G227" s="138" t="s">
        <v>263</v>
      </c>
    </row>
    <row r="228" spans="1:7" ht="30" x14ac:dyDescent="0.25">
      <c r="A228" s="434"/>
      <c r="B228" s="440"/>
      <c r="C228" s="441"/>
      <c r="D228" s="11" t="str">
        <f>'В2.Расчет стоимости часа'!C230</f>
        <v xml:space="preserve">        Деятельность по подбору персонала прочая</v>
      </c>
      <c r="E228" s="137">
        <f>'В2.Расчет стоимости часа'!H230</f>
        <v>70712.3</v>
      </c>
      <c r="F228" s="137">
        <f>'В2.Расчет стоимости часа'!P230</f>
        <v>607.65566632631476</v>
      </c>
      <c r="G228" s="138" t="s">
        <v>263</v>
      </c>
    </row>
    <row r="229" spans="1:7" ht="30" x14ac:dyDescent="0.25">
      <c r="A229" s="434"/>
      <c r="B229" s="440"/>
      <c r="C229" s="439" t="str">
        <f>'В2.Расчет стоимости часа'!B231</f>
        <v xml:space="preserve">    Деятельность туристических агентств и прочих организаций, предоставляющих услуги в сфере туризма</v>
      </c>
      <c r="D229" s="11" t="str">
        <f>'В2.Расчет стоимости часа'!C231</f>
        <v xml:space="preserve">        Деятельность туристических агентств и туроператоров</v>
      </c>
      <c r="E229" s="137">
        <f>'В2.Расчет стоимости часа'!H231</f>
        <v>44401.375</v>
      </c>
      <c r="F229" s="137">
        <f>'В2.Расчет стоимости часа'!P231</f>
        <v>376.06042885193847</v>
      </c>
      <c r="G229" s="138" t="s">
        <v>263</v>
      </c>
    </row>
    <row r="230" spans="1:7" ht="30" x14ac:dyDescent="0.25">
      <c r="A230" s="434"/>
      <c r="B230" s="440"/>
      <c r="C230" s="441"/>
      <c r="D230" s="11" t="str">
        <f>'В2.Расчет стоимости часа'!C232</f>
        <v xml:space="preserve">        Услуги по бронированию прочие и сопутствующая деятельность</v>
      </c>
      <c r="E230" s="137">
        <f>'В2.Расчет стоимости часа'!H232</f>
        <v>71107.799999999988</v>
      </c>
      <c r="F230" s="137">
        <f>'В2.Расчет стоимости часа'!P232</f>
        <v>604.45185388480388</v>
      </c>
      <c r="G230" s="138" t="s">
        <v>263</v>
      </c>
    </row>
    <row r="231" spans="1:7" ht="30" x14ac:dyDescent="0.25">
      <c r="A231" s="434"/>
      <c r="B231" s="440"/>
      <c r="C231" s="439" t="str">
        <f>'В2.Расчет стоимости часа'!B233</f>
        <v xml:space="preserve">    Деятельность по обеспечению безопасности и проведению расследований</v>
      </c>
      <c r="D231" s="11" t="str">
        <f>'В2.Расчет стоимости часа'!C233</f>
        <v xml:space="preserve">        Деятельность охранных служб, в том числе частных</v>
      </c>
      <c r="E231" s="137">
        <f>'В2.Расчет стоимости часа'!H233</f>
        <v>40652.724999999999</v>
      </c>
      <c r="F231" s="137">
        <f>'В2.Расчет стоимости часа'!P233</f>
        <v>347.55641186274511</v>
      </c>
      <c r="G231" s="138" t="s">
        <v>263</v>
      </c>
    </row>
    <row r="232" spans="1:7" ht="30" x14ac:dyDescent="0.25">
      <c r="A232" s="434"/>
      <c r="B232" s="440"/>
      <c r="C232" s="440"/>
      <c r="D232" s="11" t="str">
        <f>'В2.Расчет стоимости часа'!C234</f>
        <v xml:space="preserve">        Деятельность систем обеспечения безопасности</v>
      </c>
      <c r="E232" s="137">
        <f>'В2.Расчет стоимости часа'!H234</f>
        <v>54182.574999999997</v>
      </c>
      <c r="F232" s="137">
        <f>'В2.Расчет стоимости часа'!P234</f>
        <v>461.35044815619426</v>
      </c>
      <c r="G232" s="138" t="s">
        <v>263</v>
      </c>
    </row>
    <row r="233" spans="1:7" x14ac:dyDescent="0.25">
      <c r="A233" s="434"/>
      <c r="B233" s="440"/>
      <c r="C233" s="441"/>
      <c r="D233" s="11" t="str">
        <f>'В2.Расчет стоимости часа'!C235</f>
        <v xml:space="preserve">        Деятельность по расследованию</v>
      </c>
      <c r="E233" s="137">
        <f>'В2.Расчет стоимости часа'!H235</f>
        <v>48870.875</v>
      </c>
      <c r="F233" s="137">
        <f>'В2.Расчет стоимости часа'!P235</f>
        <v>416.21771016711227</v>
      </c>
      <c r="G233" s="138" t="s">
        <v>263</v>
      </c>
    </row>
    <row r="234" spans="1:7" ht="30" x14ac:dyDescent="0.25">
      <c r="A234" s="434"/>
      <c r="B234" s="440"/>
      <c r="C234" s="439" t="str">
        <f>'В2.Расчет стоимости часа'!B236</f>
        <v xml:space="preserve">    Деятельность по обслуживанию зданий и территорий</v>
      </c>
      <c r="D234" s="11" t="str">
        <f>'В2.Расчет стоимости часа'!C236</f>
        <v xml:space="preserve">        Деятельность по комплексному обслуживанию помещений</v>
      </c>
      <c r="E234" s="137">
        <f>'В2.Расчет стоимости часа'!H236</f>
        <v>36173.724999999999</v>
      </c>
      <c r="F234" s="137">
        <f>'В2.Расчет стоимости часа'!P236</f>
        <v>307.76633704823979</v>
      </c>
      <c r="G234" s="138" t="s">
        <v>263</v>
      </c>
    </row>
    <row r="235" spans="1:7" x14ac:dyDescent="0.25">
      <c r="A235" s="434"/>
      <c r="B235" s="440"/>
      <c r="C235" s="440"/>
      <c r="D235" s="11" t="str">
        <f>'В2.Расчет стоимости часа'!C237</f>
        <v xml:space="preserve">        Деятельность по чистке и уборке</v>
      </c>
      <c r="E235" s="137">
        <f>'В2.Расчет стоимости часа'!H237</f>
        <v>42648.950000000004</v>
      </c>
      <c r="F235" s="137">
        <f>'В2.Расчет стоимости часа'!P237</f>
        <v>363.84843703097147</v>
      </c>
      <c r="G235" s="138" t="s">
        <v>263</v>
      </c>
    </row>
    <row r="236" spans="1:7" ht="30" x14ac:dyDescent="0.25">
      <c r="A236" s="434"/>
      <c r="B236" s="440"/>
      <c r="C236" s="441"/>
      <c r="D236" s="11" t="str">
        <f>'В2.Расчет стоимости часа'!C238</f>
        <v xml:space="preserve">        Предоставление услуг по благоустройству ландшафта</v>
      </c>
      <c r="E236" s="137">
        <f>'В2.Расчет стоимости часа'!H238</f>
        <v>41858.6</v>
      </c>
      <c r="F236" s="137">
        <f>'В2.Расчет стоимости часа'!P238</f>
        <v>357.31553876838228</v>
      </c>
      <c r="G236" s="138" t="s">
        <v>263</v>
      </c>
    </row>
    <row r="237" spans="1:7" ht="60" x14ac:dyDescent="0.25">
      <c r="A237" s="434"/>
      <c r="B237" s="440"/>
      <c r="C237" s="439" t="str">
        <f>'В2.Расчет стоимости часа'!B239</f>
        <v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v>
      </c>
      <c r="D237" s="11" t="str">
        <f>'В2.Расчет стоимости часа'!C239</f>
        <v xml:space="preserve">        Деятельность административно-хозяйственная и вспомогательная деятельность по обеспечению функционирования организации</v>
      </c>
      <c r="E237" s="137">
        <f>'В2.Расчет стоимости часа'!H239</f>
        <v>72443.649999999994</v>
      </c>
      <c r="F237" s="137">
        <f>'В2.Расчет стоимости часа'!P239</f>
        <v>614.42823306261141</v>
      </c>
      <c r="G237" s="138" t="s">
        <v>263</v>
      </c>
    </row>
    <row r="238" spans="1:7" ht="30" x14ac:dyDescent="0.25">
      <c r="A238" s="434"/>
      <c r="B238" s="440"/>
      <c r="C238" s="440"/>
      <c r="D238" s="11" t="str">
        <f>'В2.Расчет стоимости часа'!C240</f>
        <v xml:space="preserve">        Деятельность центров обработки телефонных вызовов</v>
      </c>
      <c r="E238" s="137">
        <f>'В2.Расчет стоимости часа'!H240</f>
        <v>36511.274999999994</v>
      </c>
      <c r="F238" s="137">
        <f>'В2.Расчет стоимости часа'!P240</f>
        <v>310.73368730225042</v>
      </c>
      <c r="G238" s="138" t="s">
        <v>263</v>
      </c>
    </row>
    <row r="239" spans="1:7" ht="30" x14ac:dyDescent="0.25">
      <c r="A239" s="434"/>
      <c r="B239" s="440"/>
      <c r="C239" s="440"/>
      <c r="D239" s="11" t="str">
        <f>'В2.Расчет стоимости часа'!C241</f>
        <v xml:space="preserve">        Деятельность по организации конференций и выставок</v>
      </c>
      <c r="E239" s="137">
        <f>'В2.Расчет стоимости часа'!H241</f>
        <v>95994.45</v>
      </c>
      <c r="F239" s="137">
        <f>'В2.Расчет стоимости часа'!P241</f>
        <v>819.05729321412662</v>
      </c>
      <c r="G239" s="138" t="s">
        <v>263</v>
      </c>
    </row>
    <row r="240" spans="1:7" ht="45" x14ac:dyDescent="0.25">
      <c r="A240" s="435"/>
      <c r="B240" s="441"/>
      <c r="C240" s="441"/>
      <c r="D240" s="11" t="str">
        <f>'В2.Расчет стоимости часа'!C242</f>
        <v xml:space="preserve">        Деятельность по предоставлению вспомогательных услуг для бизнеса, не включенная в другие группировки</v>
      </c>
      <c r="E240" s="137">
        <f>'В2.Расчет стоимости часа'!H242</f>
        <v>69637.025000000009</v>
      </c>
      <c r="F240" s="137">
        <f>'В2.Расчет стоимости часа'!P242</f>
        <v>594.12070920120311</v>
      </c>
      <c r="G240" s="138" t="s">
        <v>263</v>
      </c>
    </row>
    <row r="241" spans="1:7" ht="60" x14ac:dyDescent="0.25">
      <c r="A241" s="433">
        <v>16</v>
      </c>
      <c r="B241" s="439" t="str">
        <f>'В2.Расчет стоимости часа'!A243</f>
        <v>ГОСУДАРСТВЕННОЕ УПРАВЛЕНИЕ И ОБЕСПЕЧЕНИЕ ВОЕННОЙ БЕЗОПАСНОСТИ; СОЦИАЛЬНОЕ ОБЕСПЕЧЕНИЕ</v>
      </c>
      <c r="C241" s="439" t="str">
        <f>'В2.Расчет стоимости часа'!B243</f>
        <v xml:space="preserve">    Деятельность органов государственного управления по обеспечению военной безопасности, обязательному социальному обеспечению</v>
      </c>
      <c r="D241" s="11" t="str">
        <f>'В2.Расчет стоимости часа'!C243</f>
        <v xml:space="preserve">        Деятельность органов государственного управления и местного самоуправления по вопросам общего и социально-экономического характера</v>
      </c>
      <c r="E241" s="137">
        <f>'В2.Расчет стоимости часа'!H243</f>
        <v>69425.625</v>
      </c>
      <c r="F241" s="137">
        <f>'В2.Расчет стоимости часа'!P243</f>
        <v>588.26349299632352</v>
      </c>
      <c r="G241" s="138" t="s">
        <v>263</v>
      </c>
    </row>
    <row r="242" spans="1:7" ht="30" x14ac:dyDescent="0.25">
      <c r="A242" s="434"/>
      <c r="B242" s="440"/>
      <c r="C242" s="440"/>
      <c r="D242" s="11" t="str">
        <f>'В2.Расчет стоимости часа'!C244</f>
        <v xml:space="preserve">        Предоставление государственных услуг обществу</v>
      </c>
      <c r="E242" s="137">
        <f>'В2.Расчет стоимости часа'!H244</f>
        <v>59026.15</v>
      </c>
      <c r="F242" s="137">
        <f>'В2.Расчет стоимости часа'!P244</f>
        <v>502.39613390207222</v>
      </c>
      <c r="G242" s="138" t="s">
        <v>263</v>
      </c>
    </row>
    <row r="243" spans="1:7" ht="30" x14ac:dyDescent="0.25">
      <c r="A243" s="435"/>
      <c r="B243" s="441"/>
      <c r="C243" s="441"/>
      <c r="D243" s="11" t="str">
        <f>'В2.Расчет стоимости часа'!C245</f>
        <v xml:space="preserve">        Деятельность в области обязательного социального обеспечения</v>
      </c>
      <c r="E243" s="137">
        <f>'В2.Расчет стоимости часа'!H245</f>
        <v>52664.575000000004</v>
      </c>
      <c r="F243" s="137">
        <f>'В2.Расчет стоимости часа'!P245</f>
        <v>439.49634539828435</v>
      </c>
      <c r="G243" s="138" t="s">
        <v>263</v>
      </c>
    </row>
    <row r="244" spans="1:7" x14ac:dyDescent="0.25">
      <c r="A244" s="433">
        <v>17</v>
      </c>
      <c r="B244" s="439" t="str">
        <f>'В2.Расчет стоимости часа'!A246</f>
        <v>ОБРАЗОВАНИЕ</v>
      </c>
      <c r="C244" s="439" t="str">
        <f>'В2.Расчет стоимости часа'!B246</f>
        <v xml:space="preserve">    Образование</v>
      </c>
      <c r="D244" s="11" t="str">
        <f>'В2.Расчет стоимости часа'!C246</f>
        <v xml:space="preserve">        Образование общее</v>
      </c>
      <c r="E244" s="137">
        <f>'В2.Расчет стоимости часа'!H246</f>
        <v>44459.6</v>
      </c>
      <c r="F244" s="137">
        <f>'В2.Расчет стоимости часа'!P246</f>
        <v>378.76178245933608</v>
      </c>
      <c r="G244" s="138" t="s">
        <v>263</v>
      </c>
    </row>
    <row r="245" spans="1:7" x14ac:dyDescent="0.25">
      <c r="A245" s="434"/>
      <c r="B245" s="440"/>
      <c r="C245" s="440"/>
      <c r="D245" s="11" t="str">
        <f>'В2.Расчет стоимости часа'!C247</f>
        <v xml:space="preserve">        Образование профессиональное</v>
      </c>
      <c r="E245" s="137">
        <f>'В2.Расчет стоимости часа'!H247</f>
        <v>68927.850000000006</v>
      </c>
      <c r="F245" s="137">
        <f>'В2.Расчет стоимости часа'!P247</f>
        <v>584.99687505904626</v>
      </c>
      <c r="G245" s="138" t="s">
        <v>263</v>
      </c>
    </row>
    <row r="246" spans="1:7" x14ac:dyDescent="0.25">
      <c r="A246" s="434"/>
      <c r="B246" s="440"/>
      <c r="C246" s="440"/>
      <c r="D246" s="11" t="str">
        <f>'В2.Расчет стоимости часа'!C248</f>
        <v xml:space="preserve">        Обучение профессиональное</v>
      </c>
      <c r="E246" s="137">
        <f>'В2.Расчет стоимости часа'!H248</f>
        <v>52823.200000000004</v>
      </c>
      <c r="F246" s="137">
        <f>'В2.Расчет стоимости часа'!P248</f>
        <v>448.01853507352945</v>
      </c>
      <c r="G246" s="138" t="s">
        <v>263</v>
      </c>
    </row>
    <row r="247" spans="1:7" x14ac:dyDescent="0.25">
      <c r="A247" s="435"/>
      <c r="B247" s="441"/>
      <c r="C247" s="441"/>
      <c r="D247" s="11" t="str">
        <f>'В2.Расчет стоимости часа'!C249</f>
        <v xml:space="preserve">        Образование дополнительное</v>
      </c>
      <c r="E247" s="137">
        <f>'В2.Расчет стоимости часа'!H249</f>
        <v>50866.95</v>
      </c>
      <c r="F247" s="137">
        <f>'В2.Расчет стоимости часа'!P249</f>
        <v>432.49995619262478</v>
      </c>
      <c r="G247" s="138" t="s">
        <v>263</v>
      </c>
    </row>
    <row r="248" spans="1:7" x14ac:dyDescent="0.25">
      <c r="A248" s="433">
        <v>18</v>
      </c>
      <c r="B248" s="439" t="str">
        <f>'В2.Расчет стоимости часа'!A250</f>
        <v>ДЕЯТЕЛЬНОСТЬ В ОБЛАСТИ ЗДРАВООХРАНЕНИЯ И СОЦИАЛЬНЫХ УСЛУГ</v>
      </c>
      <c r="C248" s="439" t="str">
        <f>'В2.Расчет стоимости часа'!B250</f>
        <v xml:space="preserve">    Деятельность в области здравоохранения</v>
      </c>
      <c r="D248" s="11" t="str">
        <f>'В2.Расчет стоимости часа'!C250</f>
        <v xml:space="preserve">        Деятельность больничных организаций</v>
      </c>
      <c r="E248" s="137">
        <f>'В2.Расчет стоимости часа'!H250</f>
        <v>58700.375</v>
      </c>
      <c r="F248" s="137">
        <f>'В2.Расчет стоимости часа'!P250</f>
        <v>500.86444861296786</v>
      </c>
      <c r="G248" s="138" t="s">
        <v>263</v>
      </c>
    </row>
    <row r="249" spans="1:7" ht="30" x14ac:dyDescent="0.25">
      <c r="A249" s="434"/>
      <c r="B249" s="440"/>
      <c r="C249" s="440"/>
      <c r="D249" s="11" t="str">
        <f>'В2.Расчет стоимости часа'!C251</f>
        <v xml:space="preserve">        Медицинская и стоматологическая практика</v>
      </c>
      <c r="E249" s="137">
        <f>'В2.Расчет стоимости часа'!H251</f>
        <v>61570.799999999996</v>
      </c>
      <c r="F249" s="137">
        <f>'В2.Расчет стоимости часа'!P251</f>
        <v>523.75136342691621</v>
      </c>
      <c r="G249" s="138" t="s">
        <v>263</v>
      </c>
    </row>
    <row r="250" spans="1:7" ht="30" x14ac:dyDescent="0.25">
      <c r="A250" s="434"/>
      <c r="B250" s="440"/>
      <c r="C250" s="441"/>
      <c r="D250" s="11" t="str">
        <f>'В2.Расчет стоимости часа'!C252</f>
        <v xml:space="preserve">        Деятельность в области медицины прочая</v>
      </c>
      <c r="E250" s="137">
        <f>'В2.Расчет стоимости часа'!H252</f>
        <v>56694.575000000004</v>
      </c>
      <c r="F250" s="137">
        <f>'В2.Расчет стоимости часа'!P252</f>
        <v>483.21897406472817</v>
      </c>
      <c r="G250" s="138" t="s">
        <v>263</v>
      </c>
    </row>
    <row r="251" spans="1:7" ht="30" x14ac:dyDescent="0.25">
      <c r="A251" s="434"/>
      <c r="B251" s="440"/>
      <c r="C251" s="439" t="str">
        <f>'В2.Расчет стоимости часа'!B253</f>
        <v xml:space="preserve">    Деятельность по уходу с обеспечением проживания</v>
      </c>
      <c r="D251" s="11" t="str">
        <f>'В2.Расчет стоимости часа'!C253</f>
        <v xml:space="preserve">        Деятельность по медицинскому уходу с обеспечением проживания</v>
      </c>
      <c r="E251" s="137">
        <f>'В2.Расчет стоимости часа'!H253</f>
        <v>36879.449999999997</v>
      </c>
      <c r="F251" s="137">
        <f>'В2.Расчет стоимости часа'!P253</f>
        <v>312.82741612967914</v>
      </c>
      <c r="G251" s="138" t="s">
        <v>263</v>
      </c>
    </row>
    <row r="252" spans="1:7" ht="60" x14ac:dyDescent="0.25">
      <c r="A252" s="434"/>
      <c r="B252" s="440"/>
      <c r="C252" s="440"/>
      <c r="D252" s="11" t="str">
        <f>'В2.Расчет стоимости часа'!C254</f>
        <v xml:space="preserve">        Деятельность по оказанию помощи на дому для лиц с ограниченными возможностями развития, душевнобольным и наркозависимым</v>
      </c>
      <c r="E252" s="137">
        <f>'В2.Расчет стоимости часа'!H254</f>
        <v>31843.125</v>
      </c>
      <c r="F252" s="137">
        <f>'В2.Расчет стоимости часа'!P254</f>
        <v>272.08388342245991</v>
      </c>
      <c r="G252" s="138" t="s">
        <v>263</v>
      </c>
    </row>
    <row r="253" spans="1:7" ht="30" x14ac:dyDescent="0.25">
      <c r="A253" s="434"/>
      <c r="B253" s="440"/>
      <c r="C253" s="440"/>
      <c r="D253" s="11" t="str">
        <f>'В2.Расчет стоимости часа'!C255</f>
        <v xml:space="preserve">        Деятельность по уходу за престарелыми и инвалидами с обеспечением проживания</v>
      </c>
      <c r="E253" s="137">
        <f>'В2.Расчет стоимости часа'!H255</f>
        <v>39492</v>
      </c>
      <c r="F253" s="137">
        <f>'В2.Расчет стоимости часа'!P255</f>
        <v>337.13095945298573</v>
      </c>
      <c r="G253" s="138" t="s">
        <v>263</v>
      </c>
    </row>
    <row r="254" spans="1:7" ht="30" x14ac:dyDescent="0.25">
      <c r="A254" s="434"/>
      <c r="B254" s="440"/>
      <c r="C254" s="441"/>
      <c r="D254" s="11" t="str">
        <f>'В2.Расчет стоимости часа'!C256</f>
        <v xml:space="preserve">        Деятельность по уходу с обеспечением проживания прочая</v>
      </c>
      <c r="E254" s="137">
        <f>'В2.Расчет стоимости часа'!H256</f>
        <v>44487</v>
      </c>
      <c r="F254" s="137">
        <f>'В2.Расчет стоимости часа'!P256</f>
        <v>379.61194898061495</v>
      </c>
      <c r="G254" s="138" t="s">
        <v>263</v>
      </c>
    </row>
    <row r="255" spans="1:7" ht="45" x14ac:dyDescent="0.25">
      <c r="A255" s="434"/>
      <c r="B255" s="440"/>
      <c r="C255" s="439" t="str">
        <f>'В2.Расчет стоимости часа'!B257</f>
        <v xml:space="preserve">    Предоставление социальных услуг без обеспечения проживания</v>
      </c>
      <c r="D255" s="11" t="str">
        <f>'В2.Расчет стоимости часа'!C257</f>
        <v xml:space="preserve">        Предоставление социальных услуг без обеспечения проживания престарелым и инвалидам</v>
      </c>
      <c r="E255" s="137">
        <f>'В2.Расчет стоимости часа'!H257</f>
        <v>44306.100000000006</v>
      </c>
      <c r="F255" s="137">
        <f>'В2.Расчет стоимости часа'!P257</f>
        <v>377.29333069463013</v>
      </c>
      <c r="G255" s="138" t="s">
        <v>263</v>
      </c>
    </row>
    <row r="256" spans="1:7" ht="30" x14ac:dyDescent="0.25">
      <c r="A256" s="435"/>
      <c r="B256" s="441"/>
      <c r="C256" s="441"/>
      <c r="D256" s="11" t="str">
        <f>'В2.Расчет стоимости часа'!C258</f>
        <v xml:space="preserve">        Предоставление прочих социальных услуг без обеспечения проживания</v>
      </c>
      <c r="E256" s="137">
        <f>'В2.Расчет стоимости часа'!H258</f>
        <v>45053.175000000003</v>
      </c>
      <c r="F256" s="137">
        <f>'В2.Расчет стоимости часа'!P258</f>
        <v>383.69380685884579</v>
      </c>
      <c r="G256" s="138" t="s">
        <v>263</v>
      </c>
    </row>
    <row r="257" spans="1:7" ht="60" x14ac:dyDescent="0.25">
      <c r="A257" s="433">
        <v>19</v>
      </c>
      <c r="B257" s="439" t="str">
        <f>'В2.Расчет стоимости часа'!A259</f>
        <v>ДЕЯТЕЛЬНОСТЬ В ОБЛАСТИ КУЛЬТУРЫ, СПОРТА, ОРГАНИЗАЦИИ ДОСУГА И РАЗВЛЕЧЕНИЙ</v>
      </c>
      <c r="C257" s="130" t="str">
        <f>'В2.Расчет стоимости часа'!B259</f>
        <v xml:space="preserve">    Деятельность творческая, деятельность в области искусства и организации развлечений</v>
      </c>
      <c r="D257" s="11" t="str">
        <f>'В2.Расчет стоимости часа'!C259</f>
        <v xml:space="preserve">        Деятельность творческая, деятельность в области искусства и организации развлечений</v>
      </c>
      <c r="E257" s="137">
        <f>'В2.Расчет стоимости часа'!H259</f>
        <v>55553.275000000009</v>
      </c>
      <c r="F257" s="137">
        <f>'В2.Расчет стоимости часа'!P259</f>
        <v>473.05206968471487</v>
      </c>
      <c r="G257" s="138" t="s">
        <v>263</v>
      </c>
    </row>
    <row r="258" spans="1:7" ht="45" x14ac:dyDescent="0.25">
      <c r="A258" s="434"/>
      <c r="B258" s="440"/>
      <c r="C258" s="130" t="str">
        <f>'В2.Расчет стоимости часа'!B260</f>
        <v xml:space="preserve">    Деятельность библиотек, архивов, музеев и прочих объектов культуры</v>
      </c>
      <c r="D258" s="11" t="str">
        <f>'В2.Расчет стоимости часа'!C260</f>
        <v xml:space="preserve">        Деятельность библиотек, архивов, музеев и прочих объектов культуры</v>
      </c>
      <c r="E258" s="137">
        <f>'В2.Расчет стоимости часа'!H260</f>
        <v>51200.600000000006</v>
      </c>
      <c r="F258" s="137">
        <f>'В2.Расчет стоимости часа'!P260</f>
        <v>434.89291341800356</v>
      </c>
      <c r="G258" s="138" t="s">
        <v>263</v>
      </c>
    </row>
    <row r="259" spans="1:7" ht="45" x14ac:dyDescent="0.25">
      <c r="A259" s="434"/>
      <c r="B259" s="440"/>
      <c r="C259" s="439" t="str">
        <f>'В2.Расчет стоимости часа'!B261</f>
        <v xml:space="preserve">    Деятельность по организации и проведению азартных игр и заключению пари, по организации и проведению лотерей</v>
      </c>
      <c r="D259" s="11" t="str">
        <f>'В2.Расчет стоимости часа'!C261</f>
        <v xml:space="preserve">        Деятельность по организации и проведению азартных игр и заключения пари</v>
      </c>
      <c r="E259" s="137">
        <f>'В2.Расчет стоимости часа'!H261</f>
        <v>58281.249999999993</v>
      </c>
      <c r="F259" s="137">
        <f>'В2.Расчет стоимости часа'!P261</f>
        <v>497.9849681283423</v>
      </c>
      <c r="G259" s="138" t="s">
        <v>263</v>
      </c>
    </row>
    <row r="260" spans="1:7" ht="30" x14ac:dyDescent="0.25">
      <c r="A260" s="434"/>
      <c r="B260" s="440"/>
      <c r="C260" s="441"/>
      <c r="D260" s="11" t="str">
        <f>'В2.Расчет стоимости часа'!C262</f>
        <v xml:space="preserve">        Деятельность по организации и проведению лотерей</v>
      </c>
      <c r="E260" s="137">
        <f>'В2.Расчет стоимости часа'!H262</f>
        <v>130715.575</v>
      </c>
      <c r="F260" s="137">
        <f>'В2.Расчет стоимости часа'!P262</f>
        <v>1120.4190670955884</v>
      </c>
      <c r="G260" s="138" t="s">
        <v>263</v>
      </c>
    </row>
    <row r="261" spans="1:7" x14ac:dyDescent="0.25">
      <c r="A261" s="434"/>
      <c r="B261" s="440"/>
      <c r="C261" s="439" t="str">
        <f>'В2.Расчет стоимости часа'!B263</f>
        <v xml:space="preserve">    Деятельность в области спорта, отдыха и развлечений</v>
      </c>
      <c r="D261" s="11" t="str">
        <f>'В2.Расчет стоимости часа'!C263</f>
        <v xml:space="preserve">        Деятельность в области спорта</v>
      </c>
      <c r="E261" s="137">
        <f>'В2.Расчет стоимости часа'!H263</f>
        <v>72410.049999999988</v>
      </c>
      <c r="F261" s="137">
        <f>'В2.Расчет стоимости часа'!P263</f>
        <v>615.32336180982611</v>
      </c>
      <c r="G261" s="138" t="s">
        <v>263</v>
      </c>
    </row>
    <row r="262" spans="1:7" ht="30" x14ac:dyDescent="0.25">
      <c r="A262" s="435"/>
      <c r="B262" s="441"/>
      <c r="C262" s="441"/>
      <c r="D262" s="11" t="str">
        <f>'В2.Расчет стоимости часа'!C264</f>
        <v xml:space="preserve">        Деятельность в области отдыха и развлечений</v>
      </c>
      <c r="E262" s="137">
        <f>'В2.Расчет стоимости часа'!H264</f>
        <v>44278.15</v>
      </c>
      <c r="F262" s="137">
        <f>'В2.Расчет стоимости часа'!P264</f>
        <v>376.40534510583774</v>
      </c>
      <c r="G262" s="138" t="s">
        <v>263</v>
      </c>
    </row>
    <row r="263" spans="1:7" ht="45" x14ac:dyDescent="0.25">
      <c r="A263" s="433">
        <v>20</v>
      </c>
      <c r="B263" s="439" t="str">
        <f>'В2.Расчет стоимости часа'!A265</f>
        <v>ПРЕДОСТАВЛЕНИЕ ПРОЧИХ ВИДОВ УСЛУГ</v>
      </c>
      <c r="C263" s="439" t="str">
        <f>'В2.Расчет стоимости часа'!B265</f>
        <v xml:space="preserve">    Деятельность общественных и прочих некоммерческих организаций</v>
      </c>
      <c r="D263" s="11" t="str">
        <f>'В2.Расчет стоимости часа'!C265</f>
        <v xml:space="preserve">        Деятельность предпринимательских и профессиональных членских некоммерческих организаций</v>
      </c>
      <c r="E263" s="137">
        <f>'В2.Расчет стоимости часа'!H265</f>
        <v>104239.375</v>
      </c>
      <c r="F263" s="137">
        <f>'В2.Расчет стоимости часа'!P265</f>
        <v>885.88990017156868</v>
      </c>
      <c r="G263" s="138" t="s">
        <v>263</v>
      </c>
    </row>
    <row r="264" spans="1:7" ht="30" x14ac:dyDescent="0.25">
      <c r="A264" s="434"/>
      <c r="B264" s="440"/>
      <c r="C264" s="440"/>
      <c r="D264" s="11" t="str">
        <f>'В2.Расчет стоимости часа'!C266</f>
        <v xml:space="preserve">        Деятельность профессиональных союзов</v>
      </c>
      <c r="E264" s="137">
        <f>'В2.Расчет стоимости часа'!H266</f>
        <v>93581.675000000003</v>
      </c>
      <c r="F264" s="137">
        <f>'В2.Расчет стоимости часа'!P266</f>
        <v>792.94302970254</v>
      </c>
      <c r="G264" s="138" t="s">
        <v>263</v>
      </c>
    </row>
    <row r="265" spans="1:7" ht="30" x14ac:dyDescent="0.25">
      <c r="A265" s="434"/>
      <c r="B265" s="440"/>
      <c r="C265" s="441"/>
      <c r="D265" s="11" t="str">
        <f>'В2.Расчет стоимости часа'!C267</f>
        <v xml:space="preserve">        Деятельность прочих общественных и некоммерческих организаций</v>
      </c>
      <c r="E265" s="137">
        <f>'В2.Расчет стоимости часа'!H267</f>
        <v>53797.074999999997</v>
      </c>
      <c r="F265" s="137">
        <f>'В2.Расчет стоимости часа'!P267</f>
        <v>458.10230362522282</v>
      </c>
      <c r="G265" s="138" t="s">
        <v>263</v>
      </c>
    </row>
    <row r="266" spans="1:7" ht="30" x14ac:dyDescent="0.25">
      <c r="A266" s="434"/>
      <c r="B266" s="440"/>
      <c r="C266" s="439" t="str">
        <f>'В2.Расчет стоимости часа'!B268</f>
        <v xml:space="preserve">    Ремонт компьютеров, предметов личного потребления и хозяйственно-бытового назначения</v>
      </c>
      <c r="D266" s="11" t="str">
        <f>'В2.Расчет стоимости часа'!C268</f>
        <v xml:space="preserve">        Ремонт компьютеров и коммуникационного оборудования</v>
      </c>
      <c r="E266" s="137">
        <f>'В2.Расчет стоимости часа'!H268</f>
        <v>47547.15</v>
      </c>
      <c r="F266" s="137">
        <f>'В2.Расчет стоимости часа'!P268</f>
        <v>403.80233947192517</v>
      </c>
      <c r="G266" s="138" t="s">
        <v>263</v>
      </c>
    </row>
    <row r="267" spans="1:7" ht="45" x14ac:dyDescent="0.25">
      <c r="A267" s="434"/>
      <c r="B267" s="440"/>
      <c r="C267" s="441"/>
      <c r="D267" s="11" t="str">
        <f>'В2.Расчет стоимости часа'!C269</f>
        <v xml:space="preserve">        Ремонт предметов личного потребления и хозяйственно-бытового назначения</v>
      </c>
      <c r="E267" s="137">
        <f>'В2.Расчет стоимости часа'!H269</f>
        <v>30779.974999999999</v>
      </c>
      <c r="F267" s="137">
        <f>'В2.Расчет стоимости часа'!P269</f>
        <v>263.9761051214349</v>
      </c>
      <c r="G267" s="138" t="s">
        <v>263</v>
      </c>
    </row>
    <row r="268" spans="1:7" ht="45" x14ac:dyDescent="0.25">
      <c r="A268" s="435"/>
      <c r="B268" s="441"/>
      <c r="C268" s="130" t="str">
        <f>'В2.Расчет стоимости часа'!B270</f>
        <v xml:space="preserve">    Деятельность по предоставлению прочих персональных услуг</v>
      </c>
      <c r="D268" s="11" t="str">
        <f>'В2.Расчет стоимости часа'!C270</f>
        <v xml:space="preserve">        Деятельность по предоставлению прочих персональных услуг</v>
      </c>
      <c r="E268" s="137">
        <f>'В2.Расчет стоимости часа'!H270</f>
        <v>51302.325000000004</v>
      </c>
      <c r="F268" s="137">
        <f>'В2.Расчет стоимости часа'!P270</f>
        <v>431.12567689171124</v>
      </c>
      <c r="G268" s="138" t="s">
        <v>263</v>
      </c>
    </row>
  </sheetData>
  <autoFilter ref="A3:G3"/>
  <mergeCells count="111">
    <mergeCell ref="A263:A268"/>
    <mergeCell ref="B263:B268"/>
    <mergeCell ref="C263:C265"/>
    <mergeCell ref="C266:C267"/>
    <mergeCell ref="A248:A256"/>
    <mergeCell ref="B248:B256"/>
    <mergeCell ref="C248:C250"/>
    <mergeCell ref="C251:C254"/>
    <mergeCell ref="C255:C256"/>
    <mergeCell ref="A257:A262"/>
    <mergeCell ref="B257:B262"/>
    <mergeCell ref="C259:C260"/>
    <mergeCell ref="C261:C262"/>
    <mergeCell ref="A241:A243"/>
    <mergeCell ref="B241:B243"/>
    <mergeCell ref="C241:C243"/>
    <mergeCell ref="A244:A247"/>
    <mergeCell ref="B244:B247"/>
    <mergeCell ref="C244:C247"/>
    <mergeCell ref="C217:C220"/>
    <mergeCell ref="A222:A240"/>
    <mergeCell ref="B222:B240"/>
    <mergeCell ref="C222:C225"/>
    <mergeCell ref="C226:C228"/>
    <mergeCell ref="C229:C230"/>
    <mergeCell ref="C231:C233"/>
    <mergeCell ref="C234:C236"/>
    <mergeCell ref="C237:C240"/>
    <mergeCell ref="A204:A206"/>
    <mergeCell ref="B204:B206"/>
    <mergeCell ref="C204:C206"/>
    <mergeCell ref="A207:A221"/>
    <mergeCell ref="B207:B221"/>
    <mergeCell ref="C207:C208"/>
    <mergeCell ref="C209:C210"/>
    <mergeCell ref="C211:C212"/>
    <mergeCell ref="C213:C214"/>
    <mergeCell ref="C215:C216"/>
    <mergeCell ref="C192:C193"/>
    <mergeCell ref="A194:A203"/>
    <mergeCell ref="B194:B203"/>
    <mergeCell ref="C194:C197"/>
    <mergeCell ref="C198:C200"/>
    <mergeCell ref="C201:C203"/>
    <mergeCell ref="A174:A180"/>
    <mergeCell ref="B174:B180"/>
    <mergeCell ref="C174:C177"/>
    <mergeCell ref="C178:C180"/>
    <mergeCell ref="A181:A193"/>
    <mergeCell ref="B181:B193"/>
    <mergeCell ref="C181:C182"/>
    <mergeCell ref="C183:C184"/>
    <mergeCell ref="C185:C186"/>
    <mergeCell ref="C187:C190"/>
    <mergeCell ref="A159:A173"/>
    <mergeCell ref="B159:B173"/>
    <mergeCell ref="C159:C163"/>
    <mergeCell ref="C164:C167"/>
    <mergeCell ref="C168:C169"/>
    <mergeCell ref="C170:C171"/>
    <mergeCell ref="C172:C173"/>
    <mergeCell ref="A129:A137"/>
    <mergeCell ref="B129:B137"/>
    <mergeCell ref="C129:C130"/>
    <mergeCell ref="C131:C133"/>
    <mergeCell ref="C134:C137"/>
    <mergeCell ref="A138:A158"/>
    <mergeCell ref="B138:B158"/>
    <mergeCell ref="C138:C141"/>
    <mergeCell ref="C142:C149"/>
    <mergeCell ref="C150:C158"/>
    <mergeCell ref="A120:A122"/>
    <mergeCell ref="B120:B122"/>
    <mergeCell ref="C120:C122"/>
    <mergeCell ref="A123:A128"/>
    <mergeCell ref="B123:B128"/>
    <mergeCell ref="C125:C127"/>
    <mergeCell ref="C80:C85"/>
    <mergeCell ref="C86:C93"/>
    <mergeCell ref="C94:C99"/>
    <mergeCell ref="C100:C104"/>
    <mergeCell ref="C105:C107"/>
    <mergeCell ref="C108:C110"/>
    <mergeCell ref="C54:C56"/>
    <mergeCell ref="C57:C62"/>
    <mergeCell ref="C63:C64"/>
    <mergeCell ref="C65:C66"/>
    <mergeCell ref="C67:C74"/>
    <mergeCell ref="C75:C79"/>
    <mergeCell ref="C24:C25"/>
    <mergeCell ref="C26:C27"/>
    <mergeCell ref="A28:A119"/>
    <mergeCell ref="B28:B119"/>
    <mergeCell ref="C28:C36"/>
    <mergeCell ref="C39:C42"/>
    <mergeCell ref="C43:C45"/>
    <mergeCell ref="C46:C48"/>
    <mergeCell ref="C50:C51"/>
    <mergeCell ref="C52:C53"/>
    <mergeCell ref="C112:C117"/>
    <mergeCell ref="C118:C119"/>
    <mergeCell ref="A5:A17"/>
    <mergeCell ref="B5:B17"/>
    <mergeCell ref="C5:C11"/>
    <mergeCell ref="C12:C15"/>
    <mergeCell ref="C16:C17"/>
    <mergeCell ref="A18:A27"/>
    <mergeCell ref="B18:B27"/>
    <mergeCell ref="C18:C19"/>
    <mergeCell ref="C20:C21"/>
    <mergeCell ref="C22:C2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zoomScale="110" zoomScaleNormal="110" workbookViewId="0">
      <selection activeCell="H17" sqref="H17"/>
    </sheetView>
  </sheetViews>
  <sheetFormatPr defaultRowHeight="15" x14ac:dyDescent="0.25"/>
  <cols>
    <col min="1" max="1" width="5.7109375" customWidth="1"/>
    <col min="2" max="2" width="40.7109375" customWidth="1"/>
    <col min="3" max="3" width="5.7109375" customWidth="1"/>
    <col min="4" max="4" width="50.7109375" customWidth="1"/>
    <col min="5" max="5" width="19.42578125" customWidth="1"/>
    <col min="7" max="7" width="38.28515625" customWidth="1"/>
  </cols>
  <sheetData>
    <row r="1" spans="1:5" ht="15.75" x14ac:dyDescent="0.25">
      <c r="A1" s="128" t="s">
        <v>164</v>
      </c>
    </row>
    <row r="3" spans="1:5" ht="30" x14ac:dyDescent="0.25">
      <c r="A3" s="135" t="s">
        <v>257</v>
      </c>
      <c r="B3" s="135" t="s">
        <v>264</v>
      </c>
      <c r="C3" s="135" t="s">
        <v>257</v>
      </c>
      <c r="D3" s="135" t="s">
        <v>265</v>
      </c>
      <c r="E3" s="135" t="s">
        <v>266</v>
      </c>
    </row>
    <row r="4" spans="1:5" x14ac:dyDescent="0.25">
      <c r="A4" s="442">
        <v>1</v>
      </c>
      <c r="B4" s="442" t="s">
        <v>267</v>
      </c>
      <c r="C4" s="140">
        <v>1</v>
      </c>
      <c r="D4" s="141" t="s">
        <v>289</v>
      </c>
      <c r="E4" s="142">
        <v>10</v>
      </c>
    </row>
    <row r="5" spans="1:5" x14ac:dyDescent="0.25">
      <c r="A5" s="443"/>
      <c r="B5" s="443"/>
      <c r="C5" s="140">
        <f>C4+1</f>
        <v>2</v>
      </c>
      <c r="D5" s="141" t="s">
        <v>268</v>
      </c>
      <c r="E5" s="142">
        <v>10</v>
      </c>
    </row>
    <row r="6" spans="1:5" x14ac:dyDescent="0.25">
      <c r="A6" s="443"/>
      <c r="B6" s="443"/>
      <c r="C6" s="140">
        <f>C5+1</f>
        <v>3</v>
      </c>
      <c r="D6" s="141" t="s">
        <v>985</v>
      </c>
      <c r="E6" s="142">
        <v>10</v>
      </c>
    </row>
    <row r="7" spans="1:5" x14ac:dyDescent="0.25">
      <c r="A7" s="443"/>
      <c r="B7" s="443"/>
      <c r="C7" s="140">
        <f>C6+1</f>
        <v>4</v>
      </c>
      <c r="D7" s="141" t="s">
        <v>981</v>
      </c>
      <c r="E7" s="142">
        <v>10</v>
      </c>
    </row>
    <row r="8" spans="1:5" x14ac:dyDescent="0.25">
      <c r="A8" s="444"/>
      <c r="B8" s="444"/>
      <c r="C8" s="140">
        <v>5</v>
      </c>
      <c r="D8" s="141" t="s">
        <v>971</v>
      </c>
      <c r="E8" s="142">
        <v>5</v>
      </c>
    </row>
    <row r="9" spans="1:5" x14ac:dyDescent="0.25">
      <c r="A9" s="445">
        <v>2</v>
      </c>
      <c r="B9" s="446" t="s">
        <v>269</v>
      </c>
      <c r="C9" s="140">
        <v>1</v>
      </c>
      <c r="D9" s="141" t="s">
        <v>270</v>
      </c>
      <c r="E9" s="142">
        <v>1</v>
      </c>
    </row>
    <row r="10" spans="1:5" x14ac:dyDescent="0.25">
      <c r="A10" s="445"/>
      <c r="B10" s="446"/>
      <c r="C10" s="140">
        <f>C9+1</f>
        <v>2</v>
      </c>
      <c r="D10" s="141" t="s">
        <v>271</v>
      </c>
      <c r="E10" s="142">
        <v>10</v>
      </c>
    </row>
    <row r="11" spans="1:5" x14ac:dyDescent="0.25">
      <c r="A11" s="445"/>
      <c r="B11" s="446"/>
      <c r="C11" s="140">
        <f>C10+1</f>
        <v>3</v>
      </c>
      <c r="D11" s="141"/>
      <c r="E11" s="142"/>
    </row>
    <row r="12" spans="1:5" ht="28.9" customHeight="1" x14ac:dyDescent="0.25">
      <c r="A12" s="442">
        <v>3</v>
      </c>
      <c r="B12" s="447" t="s">
        <v>272</v>
      </c>
      <c r="C12" s="140">
        <v>1</v>
      </c>
      <c r="D12" s="141"/>
      <c r="E12" s="142"/>
    </row>
    <row r="13" spans="1:5" x14ac:dyDescent="0.25">
      <c r="A13" s="443"/>
      <c r="B13" s="448"/>
      <c r="C13" s="140">
        <f>C12+1</f>
        <v>2</v>
      </c>
      <c r="D13" s="141"/>
      <c r="E13" s="142"/>
    </row>
    <row r="14" spans="1:5" x14ac:dyDescent="0.25">
      <c r="A14" s="444"/>
      <c r="B14" s="449"/>
      <c r="C14" s="140">
        <f>C13+1</f>
        <v>3</v>
      </c>
      <c r="D14" s="141"/>
      <c r="E14" s="142"/>
    </row>
    <row r="15" spans="1:5" x14ac:dyDescent="0.25">
      <c r="A15" s="445">
        <v>4</v>
      </c>
      <c r="B15" s="446" t="s">
        <v>273</v>
      </c>
      <c r="C15" s="140">
        <v>1</v>
      </c>
      <c r="D15" s="2" t="s">
        <v>274</v>
      </c>
      <c r="E15" s="142">
        <v>10</v>
      </c>
    </row>
    <row r="16" spans="1:5" x14ac:dyDescent="0.25">
      <c r="A16" s="445"/>
      <c r="B16" s="446"/>
      <c r="C16" s="140">
        <f>C15+1</f>
        <v>2</v>
      </c>
      <c r="D16" s="2" t="s">
        <v>964</v>
      </c>
      <c r="E16" s="142">
        <v>1</v>
      </c>
    </row>
    <row r="17" spans="1:5" x14ac:dyDescent="0.25">
      <c r="A17" s="445"/>
      <c r="B17" s="446"/>
      <c r="C17" s="140">
        <f>C16+1</f>
        <v>3</v>
      </c>
      <c r="D17" s="2"/>
      <c r="E17" s="2"/>
    </row>
    <row r="18" spans="1:5" x14ac:dyDescent="0.25">
      <c r="A18" s="445">
        <v>5</v>
      </c>
      <c r="B18" s="446" t="s">
        <v>275</v>
      </c>
      <c r="C18" s="140">
        <v>1</v>
      </c>
      <c r="D18" s="141" t="s">
        <v>276</v>
      </c>
      <c r="E18" s="142">
        <v>1</v>
      </c>
    </row>
    <row r="19" spans="1:5" x14ac:dyDescent="0.25">
      <c r="A19" s="445"/>
      <c r="B19" s="446"/>
      <c r="C19" s="140">
        <f>C18+1</f>
        <v>2</v>
      </c>
      <c r="D19" s="2"/>
      <c r="E19" s="2"/>
    </row>
    <row r="20" spans="1:5" x14ac:dyDescent="0.25">
      <c r="A20" s="445"/>
      <c r="B20" s="446"/>
      <c r="C20" s="140">
        <f>C19+1</f>
        <v>3</v>
      </c>
      <c r="D20" s="2"/>
      <c r="E20" s="2"/>
    </row>
    <row r="21" spans="1:5" x14ac:dyDescent="0.25">
      <c r="A21" s="445">
        <v>6</v>
      </c>
      <c r="B21" s="446" t="s">
        <v>277</v>
      </c>
      <c r="C21" s="140">
        <v>1</v>
      </c>
      <c r="D21" s="141"/>
      <c r="E21" s="142"/>
    </row>
    <row r="22" spans="1:5" x14ac:dyDescent="0.25">
      <c r="A22" s="445"/>
      <c r="B22" s="446"/>
      <c r="C22" s="140">
        <f>C21+1</f>
        <v>2</v>
      </c>
      <c r="D22" s="2"/>
      <c r="E22" s="2"/>
    </row>
    <row r="23" spans="1:5" x14ac:dyDescent="0.25">
      <c r="A23" s="445"/>
      <c r="B23" s="446"/>
      <c r="C23" s="140">
        <f>C22+1</f>
        <v>3</v>
      </c>
      <c r="D23" s="2"/>
      <c r="E23" s="2"/>
    </row>
    <row r="24" spans="1:5" x14ac:dyDescent="0.25">
      <c r="A24" s="445">
        <v>7</v>
      </c>
      <c r="B24" s="446" t="s">
        <v>278</v>
      </c>
      <c r="C24" s="140">
        <v>1</v>
      </c>
      <c r="D24" s="141"/>
      <c r="E24" s="142"/>
    </row>
    <row r="25" spans="1:5" x14ac:dyDescent="0.25">
      <c r="A25" s="445"/>
      <c r="B25" s="446"/>
      <c r="C25" s="140">
        <f>C24+1</f>
        <v>2</v>
      </c>
      <c r="D25" s="2"/>
      <c r="E25" s="2"/>
    </row>
    <row r="26" spans="1:5" x14ac:dyDescent="0.25">
      <c r="A26" s="445"/>
      <c r="B26" s="446"/>
      <c r="C26" s="140">
        <f>C25+1</f>
        <v>3</v>
      </c>
      <c r="D26" s="2"/>
      <c r="E26" s="2"/>
    </row>
    <row r="27" spans="1:5" x14ac:dyDescent="0.25">
      <c r="A27" s="445">
        <v>8</v>
      </c>
      <c r="B27" s="446" t="s">
        <v>279</v>
      </c>
      <c r="C27" s="140">
        <v>1</v>
      </c>
      <c r="D27" s="141"/>
      <c r="E27" s="142"/>
    </row>
    <row r="28" spans="1:5" x14ac:dyDescent="0.25">
      <c r="A28" s="445"/>
      <c r="B28" s="446"/>
      <c r="C28" s="140">
        <f>C27+1</f>
        <v>2</v>
      </c>
      <c r="D28" s="2"/>
      <c r="E28" s="2"/>
    </row>
    <row r="29" spans="1:5" x14ac:dyDescent="0.25">
      <c r="A29" s="445"/>
      <c r="B29" s="446"/>
      <c r="C29" s="140">
        <f>C28+1</f>
        <v>3</v>
      </c>
      <c r="D29" s="2"/>
      <c r="E29" s="2"/>
    </row>
    <row r="30" spans="1:5" x14ac:dyDescent="0.25">
      <c r="A30" s="445">
        <v>9</v>
      </c>
      <c r="B30" s="446" t="s">
        <v>280</v>
      </c>
      <c r="C30" s="140">
        <v>1</v>
      </c>
      <c r="D30" s="141"/>
      <c r="E30" s="142"/>
    </row>
    <row r="31" spans="1:5" x14ac:dyDescent="0.25">
      <c r="A31" s="445"/>
      <c r="B31" s="446"/>
      <c r="C31" s="140">
        <f>C30+1</f>
        <v>2</v>
      </c>
      <c r="D31" s="2"/>
      <c r="E31" s="2"/>
    </row>
    <row r="32" spans="1:5" x14ac:dyDescent="0.25">
      <c r="A32" s="445"/>
      <c r="B32" s="446"/>
      <c r="C32" s="140">
        <f>C31+1</f>
        <v>3</v>
      </c>
      <c r="D32" s="2"/>
      <c r="E32" s="2"/>
    </row>
    <row r="33" spans="1:5" x14ac:dyDescent="0.25">
      <c r="A33" s="445">
        <v>10</v>
      </c>
      <c r="B33" s="446" t="s">
        <v>281</v>
      </c>
      <c r="C33" s="140">
        <v>1</v>
      </c>
      <c r="D33" s="141"/>
      <c r="E33" s="142"/>
    </row>
    <row r="34" spans="1:5" x14ac:dyDescent="0.25">
      <c r="A34" s="445"/>
      <c r="B34" s="446"/>
      <c r="C34" s="140">
        <f>C33+1</f>
        <v>2</v>
      </c>
      <c r="D34" s="2"/>
      <c r="E34" s="2"/>
    </row>
    <row r="35" spans="1:5" x14ac:dyDescent="0.25">
      <c r="A35" s="445"/>
      <c r="B35" s="446"/>
      <c r="C35" s="140">
        <f>C34+1</f>
        <v>3</v>
      </c>
      <c r="D35" s="2"/>
      <c r="E35" s="2"/>
    </row>
    <row r="36" spans="1:5" x14ac:dyDescent="0.25">
      <c r="A36" s="445">
        <v>11</v>
      </c>
      <c r="B36" s="446" t="s">
        <v>282</v>
      </c>
      <c r="C36" s="140">
        <v>1</v>
      </c>
      <c r="D36" s="141"/>
      <c r="E36" s="142"/>
    </row>
    <row r="37" spans="1:5" x14ac:dyDescent="0.25">
      <c r="A37" s="445"/>
      <c r="B37" s="446"/>
      <c r="C37" s="140">
        <f>C36+1</f>
        <v>2</v>
      </c>
      <c r="D37" s="2"/>
      <c r="E37" s="2"/>
    </row>
    <row r="38" spans="1:5" x14ac:dyDescent="0.25">
      <c r="A38" s="445"/>
      <c r="B38" s="446"/>
      <c r="C38" s="140">
        <f>C37+1</f>
        <v>3</v>
      </c>
      <c r="D38" s="2"/>
      <c r="E38" s="2"/>
    </row>
    <row r="39" spans="1:5" x14ac:dyDescent="0.25">
      <c r="A39" s="445">
        <v>12</v>
      </c>
      <c r="B39" s="446" t="s">
        <v>283</v>
      </c>
      <c r="C39" s="140">
        <v>1</v>
      </c>
      <c r="D39" s="141"/>
      <c r="E39" s="142"/>
    </row>
    <row r="40" spans="1:5" x14ac:dyDescent="0.25">
      <c r="A40" s="445"/>
      <c r="B40" s="446"/>
      <c r="C40" s="140">
        <f>C39+1</f>
        <v>2</v>
      </c>
      <c r="D40" s="2"/>
      <c r="E40" s="2"/>
    </row>
    <row r="41" spans="1:5" x14ac:dyDescent="0.25">
      <c r="A41" s="445"/>
      <c r="B41" s="446"/>
      <c r="C41" s="140">
        <f>C40+1</f>
        <v>3</v>
      </c>
      <c r="D41" s="2"/>
      <c r="E41" s="2"/>
    </row>
    <row r="42" spans="1:5" x14ac:dyDescent="0.25">
      <c r="A42" s="445">
        <v>13</v>
      </c>
      <c r="B42" s="446" t="s">
        <v>284</v>
      </c>
      <c r="C42" s="140">
        <v>1</v>
      </c>
      <c r="D42" s="141"/>
      <c r="E42" s="142"/>
    </row>
    <row r="43" spans="1:5" x14ac:dyDescent="0.25">
      <c r="A43" s="445"/>
      <c r="B43" s="446"/>
      <c r="C43" s="140">
        <f>C42+1</f>
        <v>2</v>
      </c>
      <c r="D43" s="2"/>
      <c r="E43" s="2"/>
    </row>
    <row r="44" spans="1:5" x14ac:dyDescent="0.25">
      <c r="A44" s="445"/>
      <c r="B44" s="446"/>
      <c r="C44" s="140">
        <f>C43+1</f>
        <v>3</v>
      </c>
      <c r="D44" s="2"/>
      <c r="E44" s="2"/>
    </row>
    <row r="45" spans="1:5" x14ac:dyDescent="0.25">
      <c r="A45" s="445">
        <v>14</v>
      </c>
      <c r="B45" s="446" t="s">
        <v>285</v>
      </c>
      <c r="C45" s="140">
        <v>1</v>
      </c>
      <c r="D45" s="141"/>
      <c r="E45" s="142"/>
    </row>
    <row r="46" spans="1:5" x14ac:dyDescent="0.25">
      <c r="A46" s="445"/>
      <c r="B46" s="446"/>
      <c r="C46" s="140">
        <f>C45+1</f>
        <v>2</v>
      </c>
      <c r="D46" s="2"/>
      <c r="E46" s="2"/>
    </row>
    <row r="47" spans="1:5" x14ac:dyDescent="0.25">
      <c r="A47" s="445"/>
      <c r="B47" s="446"/>
      <c r="C47" s="140">
        <f>C46+1</f>
        <v>3</v>
      </c>
      <c r="D47" s="2"/>
      <c r="E47" s="2"/>
    </row>
    <row r="48" spans="1:5" x14ac:dyDescent="0.25">
      <c r="A48" s="445">
        <v>15</v>
      </c>
      <c r="B48" s="446" t="s">
        <v>286</v>
      </c>
      <c r="C48" s="140">
        <v>1</v>
      </c>
      <c r="D48" s="141"/>
      <c r="E48" s="142"/>
    </row>
    <row r="49" spans="1:5" x14ac:dyDescent="0.25">
      <c r="A49" s="445"/>
      <c r="B49" s="446"/>
      <c r="C49" s="140">
        <f>C48+1</f>
        <v>2</v>
      </c>
      <c r="D49" s="2"/>
      <c r="E49" s="2"/>
    </row>
    <row r="50" spans="1:5" x14ac:dyDescent="0.25">
      <c r="A50" s="445"/>
      <c r="B50" s="446"/>
      <c r="C50" s="140">
        <f>C49+1</f>
        <v>3</v>
      </c>
      <c r="D50" s="2"/>
      <c r="E50" s="2"/>
    </row>
    <row r="51" spans="1:5" x14ac:dyDescent="0.25">
      <c r="A51" s="445">
        <v>16</v>
      </c>
      <c r="B51" s="446" t="s">
        <v>287</v>
      </c>
      <c r="C51" s="140">
        <v>1</v>
      </c>
      <c r="D51" s="141"/>
      <c r="E51" s="142"/>
    </row>
    <row r="52" spans="1:5" x14ac:dyDescent="0.25">
      <c r="A52" s="445"/>
      <c r="B52" s="446"/>
      <c r="C52" s="140">
        <f>C51+1</f>
        <v>2</v>
      </c>
      <c r="D52" s="2"/>
      <c r="E52" s="2"/>
    </row>
    <row r="53" spans="1:5" x14ac:dyDescent="0.25">
      <c r="A53" s="445"/>
      <c r="B53" s="446"/>
      <c r="C53" s="140">
        <f>C52+1</f>
        <v>3</v>
      </c>
      <c r="D53" s="2"/>
      <c r="E53" s="2"/>
    </row>
  </sheetData>
  <autoFilter ref="A3:E3"/>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53"/>
  <sheetViews>
    <sheetView zoomScale="110" zoomScaleNormal="110" workbookViewId="0">
      <selection activeCell="K21" sqref="K21"/>
    </sheetView>
  </sheetViews>
  <sheetFormatPr defaultRowHeight="15" x14ac:dyDescent="0.25"/>
  <cols>
    <col min="1" max="1" width="5.7109375" customWidth="1"/>
    <col min="2" max="2" width="40.7109375" customWidth="1"/>
    <col min="3" max="3" width="5.7109375" customWidth="1"/>
    <col min="4" max="4" width="50.7109375" customWidth="1"/>
    <col min="5" max="5" width="20.7109375" customWidth="1"/>
    <col min="6" max="6" width="15.7109375" customWidth="1"/>
  </cols>
  <sheetData>
    <row r="1" spans="1:6" ht="15.75" x14ac:dyDescent="0.25">
      <c r="A1" s="128" t="s">
        <v>166</v>
      </c>
    </row>
    <row r="3" spans="1:6" ht="30" x14ac:dyDescent="0.25">
      <c r="A3" s="135" t="s">
        <v>257</v>
      </c>
      <c r="B3" s="135" t="s">
        <v>264</v>
      </c>
      <c r="C3" s="135" t="s">
        <v>257</v>
      </c>
      <c r="D3" s="135" t="s">
        <v>265</v>
      </c>
      <c r="E3" s="135" t="s">
        <v>288</v>
      </c>
      <c r="F3" s="135" t="s">
        <v>262</v>
      </c>
    </row>
    <row r="4" spans="1:6" x14ac:dyDescent="0.25">
      <c r="A4" s="442">
        <v>1</v>
      </c>
      <c r="B4" s="447" t="s">
        <v>267</v>
      </c>
      <c r="C4" s="140">
        <v>1</v>
      </c>
      <c r="D4" s="141" t="s">
        <v>289</v>
      </c>
      <c r="E4" s="241">
        <v>1412.3333333333333</v>
      </c>
      <c r="F4" s="143">
        <v>45139</v>
      </c>
    </row>
    <row r="5" spans="1:6" x14ac:dyDescent="0.25">
      <c r="A5" s="443"/>
      <c r="B5" s="448"/>
      <c r="C5" s="140">
        <f>C4+1</f>
        <v>2</v>
      </c>
      <c r="D5" s="141" t="s">
        <v>268</v>
      </c>
      <c r="E5" s="241">
        <v>10200</v>
      </c>
      <c r="F5" s="143">
        <v>45139</v>
      </c>
    </row>
    <row r="6" spans="1:6" x14ac:dyDescent="0.25">
      <c r="A6" s="443"/>
      <c r="B6" s="448"/>
      <c r="C6" s="140">
        <f>C5+1</f>
        <v>3</v>
      </c>
      <c r="D6" s="141" t="s">
        <v>985</v>
      </c>
      <c r="E6" s="241">
        <v>27800</v>
      </c>
      <c r="F6" s="143">
        <v>45139</v>
      </c>
    </row>
    <row r="7" spans="1:6" x14ac:dyDescent="0.25">
      <c r="A7" s="443"/>
      <c r="B7" s="448"/>
      <c r="C7" s="140">
        <f>C6+1</f>
        <v>4</v>
      </c>
      <c r="D7" s="141" t="s">
        <v>981</v>
      </c>
      <c r="E7" s="241">
        <v>30500</v>
      </c>
      <c r="F7" s="143">
        <v>45139</v>
      </c>
    </row>
    <row r="8" spans="1:6" x14ac:dyDescent="0.25">
      <c r="A8" s="444"/>
      <c r="B8" s="449"/>
      <c r="C8" s="140">
        <v>5</v>
      </c>
      <c r="D8" s="141" t="s">
        <v>971</v>
      </c>
      <c r="E8" s="241">
        <v>3500</v>
      </c>
      <c r="F8" s="143">
        <v>45139</v>
      </c>
    </row>
    <row r="9" spans="1:6" ht="14.45" customHeight="1" x14ac:dyDescent="0.25">
      <c r="A9" s="445">
        <v>2</v>
      </c>
      <c r="B9" s="446" t="s">
        <v>269</v>
      </c>
      <c r="C9" s="140">
        <v>1</v>
      </c>
      <c r="D9" s="141" t="s">
        <v>270</v>
      </c>
      <c r="E9" s="241">
        <v>259</v>
      </c>
      <c r="F9" s="143">
        <v>45139</v>
      </c>
    </row>
    <row r="10" spans="1:6" x14ac:dyDescent="0.25">
      <c r="A10" s="445"/>
      <c r="B10" s="446"/>
      <c r="C10" s="140">
        <f>C9+1</f>
        <v>2</v>
      </c>
      <c r="D10" s="141" t="s">
        <v>1143</v>
      </c>
      <c r="E10" s="241">
        <v>2100</v>
      </c>
      <c r="F10" s="143">
        <v>45139</v>
      </c>
    </row>
    <row r="11" spans="1:6" x14ac:dyDescent="0.25">
      <c r="A11" s="445"/>
      <c r="B11" s="446"/>
      <c r="C11" s="140">
        <f>C10+1</f>
        <v>3</v>
      </c>
      <c r="D11" s="141"/>
      <c r="E11" s="142"/>
      <c r="F11" s="2"/>
    </row>
    <row r="12" spans="1:6" ht="28.9" customHeight="1" x14ac:dyDescent="0.25">
      <c r="A12" s="442">
        <v>3</v>
      </c>
      <c r="B12" s="447" t="s">
        <v>272</v>
      </c>
      <c r="C12" s="140">
        <v>1</v>
      </c>
      <c r="D12" s="141"/>
      <c r="E12" s="142"/>
      <c r="F12" s="2"/>
    </row>
    <row r="13" spans="1:6" x14ac:dyDescent="0.25">
      <c r="A13" s="443"/>
      <c r="B13" s="448"/>
      <c r="C13" s="140">
        <f>C12+1</f>
        <v>2</v>
      </c>
      <c r="D13" s="141"/>
      <c r="E13" s="142"/>
      <c r="F13" s="2"/>
    </row>
    <row r="14" spans="1:6" x14ac:dyDescent="0.25">
      <c r="A14" s="444"/>
      <c r="B14" s="449"/>
      <c r="C14" s="140">
        <f>C13+1</f>
        <v>3</v>
      </c>
      <c r="D14" s="141"/>
      <c r="E14" s="142"/>
      <c r="F14" s="2"/>
    </row>
    <row r="15" spans="1:6" x14ac:dyDescent="0.25">
      <c r="A15" s="442">
        <v>4</v>
      </c>
      <c r="B15" s="446" t="s">
        <v>273</v>
      </c>
      <c r="C15" s="140">
        <v>1</v>
      </c>
      <c r="D15" s="2" t="s">
        <v>274</v>
      </c>
      <c r="E15" s="241">
        <v>2500</v>
      </c>
      <c r="F15" s="143">
        <v>45139</v>
      </c>
    </row>
    <row r="16" spans="1:6" x14ac:dyDescent="0.25">
      <c r="A16" s="443"/>
      <c r="B16" s="446"/>
      <c r="C16" s="140">
        <f>C15+1</f>
        <v>2</v>
      </c>
      <c r="D16" s="2" t="s">
        <v>964</v>
      </c>
      <c r="E16" s="241">
        <v>4500</v>
      </c>
      <c r="F16" s="143">
        <v>45139</v>
      </c>
    </row>
    <row r="17" spans="1:6" x14ac:dyDescent="0.25">
      <c r="A17" s="444"/>
      <c r="B17" s="446"/>
      <c r="C17" s="140">
        <f>C16+1</f>
        <v>3</v>
      </c>
      <c r="D17" s="2"/>
      <c r="E17" s="241"/>
      <c r="F17" s="2"/>
    </row>
    <row r="18" spans="1:6" ht="14.45" customHeight="1" x14ac:dyDescent="0.25">
      <c r="A18" s="442">
        <v>5</v>
      </c>
      <c r="B18" s="446" t="s">
        <v>275</v>
      </c>
      <c r="C18" s="140">
        <v>1</v>
      </c>
      <c r="D18" s="141" t="s">
        <v>276</v>
      </c>
      <c r="E18" s="241">
        <v>2850</v>
      </c>
      <c r="F18" s="143">
        <v>45139</v>
      </c>
    </row>
    <row r="19" spans="1:6" x14ac:dyDescent="0.25">
      <c r="A19" s="443"/>
      <c r="B19" s="446"/>
      <c r="C19" s="140">
        <f>C18+1</f>
        <v>2</v>
      </c>
      <c r="D19" s="2"/>
      <c r="E19" s="2"/>
      <c r="F19" s="2"/>
    </row>
    <row r="20" spans="1:6" x14ac:dyDescent="0.25">
      <c r="A20" s="444"/>
      <c r="B20" s="446"/>
      <c r="C20" s="140">
        <f>C19+1</f>
        <v>3</v>
      </c>
      <c r="D20" s="2"/>
      <c r="E20" s="2"/>
      <c r="F20" s="2"/>
    </row>
    <row r="21" spans="1:6" x14ac:dyDescent="0.25">
      <c r="A21" s="442">
        <v>6</v>
      </c>
      <c r="B21" s="446" t="s">
        <v>277</v>
      </c>
      <c r="C21" s="140">
        <v>1</v>
      </c>
      <c r="D21" s="141"/>
      <c r="E21" s="142"/>
      <c r="F21" s="2"/>
    </row>
    <row r="22" spans="1:6" x14ac:dyDescent="0.25">
      <c r="A22" s="443"/>
      <c r="B22" s="446"/>
      <c r="C22" s="140">
        <f>C21+1</f>
        <v>2</v>
      </c>
      <c r="D22" s="2"/>
      <c r="E22" s="2"/>
      <c r="F22" s="2"/>
    </row>
    <row r="23" spans="1:6" x14ac:dyDescent="0.25">
      <c r="A23" s="444"/>
      <c r="B23" s="446"/>
      <c r="C23" s="140">
        <f>C22+1</f>
        <v>3</v>
      </c>
      <c r="D23" s="2"/>
      <c r="E23" s="2"/>
      <c r="F23" s="2"/>
    </row>
    <row r="24" spans="1:6" x14ac:dyDescent="0.25">
      <c r="A24" s="442">
        <v>7</v>
      </c>
      <c r="B24" s="446" t="s">
        <v>278</v>
      </c>
      <c r="C24" s="140">
        <v>1</v>
      </c>
      <c r="D24" s="141"/>
      <c r="E24" s="142"/>
      <c r="F24" s="2"/>
    </row>
    <row r="25" spans="1:6" x14ac:dyDescent="0.25">
      <c r="A25" s="443"/>
      <c r="B25" s="446"/>
      <c r="C25" s="140">
        <f>C24+1</f>
        <v>2</v>
      </c>
      <c r="D25" s="2"/>
      <c r="E25" s="2"/>
      <c r="F25" s="2"/>
    </row>
    <row r="26" spans="1:6" x14ac:dyDescent="0.25">
      <c r="A26" s="444"/>
      <c r="B26" s="446"/>
      <c r="C26" s="140">
        <f>C25+1</f>
        <v>3</v>
      </c>
      <c r="D26" s="2"/>
      <c r="E26" s="2"/>
      <c r="F26" s="2"/>
    </row>
    <row r="27" spans="1:6" x14ac:dyDescent="0.25">
      <c r="A27" s="445">
        <v>8</v>
      </c>
      <c r="B27" s="446" t="s">
        <v>279</v>
      </c>
      <c r="C27" s="140">
        <v>1</v>
      </c>
      <c r="D27" s="141"/>
      <c r="E27" s="142"/>
      <c r="F27" s="2"/>
    </row>
    <row r="28" spans="1:6" x14ac:dyDescent="0.25">
      <c r="A28" s="445"/>
      <c r="B28" s="446"/>
      <c r="C28" s="140">
        <f>C27+1</f>
        <v>2</v>
      </c>
      <c r="D28" s="2"/>
      <c r="E28" s="2"/>
      <c r="F28" s="2"/>
    </row>
    <row r="29" spans="1:6" x14ac:dyDescent="0.25">
      <c r="A29" s="445"/>
      <c r="B29" s="446"/>
      <c r="C29" s="140">
        <f>C28+1</f>
        <v>3</v>
      </c>
      <c r="D29" s="2"/>
      <c r="E29" s="2"/>
      <c r="F29" s="2"/>
    </row>
    <row r="30" spans="1:6" x14ac:dyDescent="0.25">
      <c r="A30" s="445">
        <v>9</v>
      </c>
      <c r="B30" s="446" t="s">
        <v>280</v>
      </c>
      <c r="C30" s="140">
        <v>1</v>
      </c>
      <c r="D30" s="141"/>
      <c r="E30" s="142"/>
      <c r="F30" s="2"/>
    </row>
    <row r="31" spans="1:6" x14ac:dyDescent="0.25">
      <c r="A31" s="445"/>
      <c r="B31" s="446"/>
      <c r="C31" s="140">
        <f>C30+1</f>
        <v>2</v>
      </c>
      <c r="D31" s="2"/>
      <c r="E31" s="2"/>
      <c r="F31" s="2"/>
    </row>
    <row r="32" spans="1:6" x14ac:dyDescent="0.25">
      <c r="A32" s="445"/>
      <c r="B32" s="446"/>
      <c r="C32" s="140">
        <f>C31+1</f>
        <v>3</v>
      </c>
      <c r="D32" s="2"/>
      <c r="E32" s="2"/>
      <c r="F32" s="2"/>
    </row>
    <row r="33" spans="1:6" x14ac:dyDescent="0.25">
      <c r="A33" s="445">
        <v>10</v>
      </c>
      <c r="B33" s="446" t="s">
        <v>281</v>
      </c>
      <c r="C33" s="140">
        <v>1</v>
      </c>
      <c r="D33" s="141"/>
      <c r="E33" s="142"/>
      <c r="F33" s="2"/>
    </row>
    <row r="34" spans="1:6" x14ac:dyDescent="0.25">
      <c r="A34" s="445"/>
      <c r="B34" s="446"/>
      <c r="C34" s="140">
        <f>C33+1</f>
        <v>2</v>
      </c>
      <c r="D34" s="2"/>
      <c r="E34" s="2"/>
      <c r="F34" s="2"/>
    </row>
    <row r="35" spans="1:6" x14ac:dyDescent="0.25">
      <c r="A35" s="445"/>
      <c r="B35" s="446"/>
      <c r="C35" s="140">
        <f>C34+1</f>
        <v>3</v>
      </c>
      <c r="D35" s="2"/>
      <c r="E35" s="2"/>
      <c r="F35" s="2"/>
    </row>
    <row r="36" spans="1:6" x14ac:dyDescent="0.25">
      <c r="A36" s="445">
        <v>11</v>
      </c>
      <c r="B36" s="446" t="s">
        <v>282</v>
      </c>
      <c r="C36" s="140">
        <v>1</v>
      </c>
      <c r="D36" s="141"/>
      <c r="E36" s="142"/>
      <c r="F36" s="2"/>
    </row>
    <row r="37" spans="1:6" x14ac:dyDescent="0.25">
      <c r="A37" s="445"/>
      <c r="B37" s="446"/>
      <c r="C37" s="140">
        <f>C36+1</f>
        <v>2</v>
      </c>
      <c r="D37" s="2"/>
      <c r="E37" s="2"/>
      <c r="F37" s="2"/>
    </row>
    <row r="38" spans="1:6" x14ac:dyDescent="0.25">
      <c r="A38" s="445"/>
      <c r="B38" s="446"/>
      <c r="C38" s="140">
        <f>C37+1</f>
        <v>3</v>
      </c>
      <c r="D38" s="2"/>
      <c r="E38" s="2"/>
      <c r="F38" s="2"/>
    </row>
    <row r="39" spans="1:6" x14ac:dyDescent="0.25">
      <c r="A39" s="445">
        <v>12</v>
      </c>
      <c r="B39" s="446" t="s">
        <v>283</v>
      </c>
      <c r="C39" s="140">
        <v>1</v>
      </c>
      <c r="D39" s="141"/>
      <c r="E39" s="142"/>
      <c r="F39" s="2"/>
    </row>
    <row r="40" spans="1:6" x14ac:dyDescent="0.25">
      <c r="A40" s="445"/>
      <c r="B40" s="446"/>
      <c r="C40" s="140">
        <f>C39+1</f>
        <v>2</v>
      </c>
      <c r="D40" s="2"/>
      <c r="E40" s="2"/>
      <c r="F40" s="2"/>
    </row>
    <row r="41" spans="1:6" x14ac:dyDescent="0.25">
      <c r="A41" s="445"/>
      <c r="B41" s="446"/>
      <c r="C41" s="140">
        <f>C40+1</f>
        <v>3</v>
      </c>
      <c r="D41" s="2"/>
      <c r="E41" s="2"/>
      <c r="F41" s="2"/>
    </row>
    <row r="42" spans="1:6" x14ac:dyDescent="0.25">
      <c r="A42" s="445">
        <v>13</v>
      </c>
      <c r="B42" s="446" t="s">
        <v>284</v>
      </c>
      <c r="C42" s="140">
        <v>1</v>
      </c>
      <c r="D42" s="141"/>
      <c r="E42" s="142"/>
      <c r="F42" s="2"/>
    </row>
    <row r="43" spans="1:6" x14ac:dyDescent="0.25">
      <c r="A43" s="445"/>
      <c r="B43" s="446"/>
      <c r="C43" s="140">
        <f>C42+1</f>
        <v>2</v>
      </c>
      <c r="D43" s="2"/>
      <c r="E43" s="2"/>
      <c r="F43" s="2"/>
    </row>
    <row r="44" spans="1:6" x14ac:dyDescent="0.25">
      <c r="A44" s="445"/>
      <c r="B44" s="446"/>
      <c r="C44" s="140">
        <f>C43+1</f>
        <v>3</v>
      </c>
      <c r="D44" s="2"/>
      <c r="E44" s="2"/>
      <c r="F44" s="2"/>
    </row>
    <row r="45" spans="1:6" x14ac:dyDescent="0.25">
      <c r="A45" s="445">
        <v>14</v>
      </c>
      <c r="B45" s="446" t="s">
        <v>285</v>
      </c>
      <c r="C45" s="140">
        <v>1</v>
      </c>
      <c r="D45" s="141"/>
      <c r="E45" s="142"/>
      <c r="F45" s="2"/>
    </row>
    <row r="46" spans="1:6" x14ac:dyDescent="0.25">
      <c r="A46" s="445"/>
      <c r="B46" s="446"/>
      <c r="C46" s="140">
        <f>C45+1</f>
        <v>2</v>
      </c>
      <c r="D46" s="2"/>
      <c r="E46" s="2"/>
      <c r="F46" s="2"/>
    </row>
    <row r="47" spans="1:6" x14ac:dyDescent="0.25">
      <c r="A47" s="445"/>
      <c r="B47" s="446"/>
      <c r="C47" s="140">
        <f>C46+1</f>
        <v>3</v>
      </c>
      <c r="D47" s="2"/>
      <c r="E47" s="2"/>
      <c r="F47" s="2"/>
    </row>
    <row r="48" spans="1:6" x14ac:dyDescent="0.25">
      <c r="A48" s="445">
        <v>15</v>
      </c>
      <c r="B48" s="446" t="s">
        <v>286</v>
      </c>
      <c r="C48" s="140">
        <v>1</v>
      </c>
      <c r="D48" s="141"/>
      <c r="E48" s="142"/>
      <c r="F48" s="2"/>
    </row>
    <row r="49" spans="1:6" x14ac:dyDescent="0.25">
      <c r="A49" s="445"/>
      <c r="B49" s="446"/>
      <c r="C49" s="140">
        <f>C48+1</f>
        <v>2</v>
      </c>
      <c r="D49" s="2"/>
      <c r="E49" s="2"/>
      <c r="F49" s="2"/>
    </row>
    <row r="50" spans="1:6" x14ac:dyDescent="0.25">
      <c r="A50" s="445"/>
      <c r="B50" s="446"/>
      <c r="C50" s="140">
        <f>C49+1</f>
        <v>3</v>
      </c>
      <c r="D50" s="2"/>
      <c r="E50" s="2"/>
      <c r="F50" s="2"/>
    </row>
    <row r="51" spans="1:6" x14ac:dyDescent="0.25">
      <c r="A51" s="445">
        <v>16</v>
      </c>
      <c r="B51" s="446" t="s">
        <v>287</v>
      </c>
      <c r="C51" s="140">
        <v>1</v>
      </c>
      <c r="D51" s="141"/>
      <c r="E51" s="142"/>
      <c r="F51" s="2"/>
    </row>
    <row r="52" spans="1:6" x14ac:dyDescent="0.25">
      <c r="A52" s="445"/>
      <c r="B52" s="446"/>
      <c r="C52" s="140">
        <f>C51+1</f>
        <v>2</v>
      </c>
      <c r="D52" s="2"/>
      <c r="E52" s="2"/>
      <c r="F52" s="2"/>
    </row>
    <row r="53" spans="1:6" x14ac:dyDescent="0.25">
      <c r="A53" s="445"/>
      <c r="B53" s="446"/>
      <c r="C53" s="140">
        <f>C52+1</f>
        <v>3</v>
      </c>
      <c r="D53" s="2"/>
      <c r="E53" s="2"/>
      <c r="F53" s="2"/>
    </row>
  </sheetData>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topLeftCell="A2" zoomScale="120" zoomScaleNormal="120" workbookViewId="0">
      <selection activeCell="I11" sqref="I11"/>
    </sheetView>
  </sheetViews>
  <sheetFormatPr defaultRowHeight="15" x14ac:dyDescent="0.25"/>
  <cols>
    <col min="1" max="1" width="5.7109375" customWidth="1"/>
    <col min="2" max="2" width="40.7109375" customWidth="1"/>
    <col min="3" max="3" width="5.7109375" customWidth="1"/>
    <col min="4" max="4" width="50.7109375" customWidth="1"/>
    <col min="5" max="5" width="24.28515625" customWidth="1"/>
  </cols>
  <sheetData>
    <row r="1" spans="1:5" ht="15.75" x14ac:dyDescent="0.25">
      <c r="A1" s="128" t="s">
        <v>168</v>
      </c>
    </row>
    <row r="3" spans="1:5" ht="30" x14ac:dyDescent="0.25">
      <c r="A3" s="135" t="s">
        <v>257</v>
      </c>
      <c r="B3" s="135" t="s">
        <v>264</v>
      </c>
      <c r="C3" s="135" t="s">
        <v>257</v>
      </c>
      <c r="D3" s="135" t="s">
        <v>265</v>
      </c>
      <c r="E3" s="135" t="s">
        <v>290</v>
      </c>
    </row>
    <row r="4" spans="1:5" x14ac:dyDescent="0.25">
      <c r="A4" s="445">
        <v>1</v>
      </c>
      <c r="B4" s="446" t="s">
        <v>267</v>
      </c>
      <c r="C4" s="140">
        <v>1</v>
      </c>
      <c r="D4" s="141" t="s">
        <v>291</v>
      </c>
      <c r="E4" s="241">
        <v>1</v>
      </c>
    </row>
    <row r="5" spans="1:5" x14ac:dyDescent="0.25">
      <c r="A5" s="445"/>
      <c r="B5" s="446"/>
      <c r="C5" s="140">
        <f>C4+1</f>
        <v>2</v>
      </c>
      <c r="D5" s="141" t="s">
        <v>292</v>
      </c>
      <c r="E5" s="241">
        <f>1/5</f>
        <v>0.2</v>
      </c>
    </row>
    <row r="6" spans="1:5" x14ac:dyDescent="0.25">
      <c r="A6" s="445"/>
      <c r="B6" s="446"/>
      <c r="C6" s="140">
        <f>C5+1</f>
        <v>3</v>
      </c>
      <c r="D6" s="141" t="s">
        <v>268</v>
      </c>
      <c r="E6" s="241">
        <v>1</v>
      </c>
    </row>
    <row r="7" spans="1:5" x14ac:dyDescent="0.25">
      <c r="A7" s="445"/>
      <c r="B7" s="446"/>
      <c r="C7" s="140">
        <f>C6+1</f>
        <v>4</v>
      </c>
      <c r="D7" s="141" t="s">
        <v>985</v>
      </c>
      <c r="E7" s="241">
        <v>1</v>
      </c>
    </row>
    <row r="8" spans="1:5" x14ac:dyDescent="0.25">
      <c r="A8" s="445"/>
      <c r="B8" s="446"/>
      <c r="C8" s="140">
        <f>C7+1</f>
        <v>5</v>
      </c>
      <c r="D8" s="141" t="s">
        <v>981</v>
      </c>
      <c r="E8" s="241">
        <v>1</v>
      </c>
    </row>
    <row r="9" spans="1:5" ht="14.45" customHeight="1" x14ac:dyDescent="0.25">
      <c r="A9" s="445">
        <v>2</v>
      </c>
      <c r="B9" s="446" t="s">
        <v>269</v>
      </c>
      <c r="C9" s="140">
        <v>1</v>
      </c>
      <c r="D9" s="141"/>
      <c r="E9" s="144"/>
    </row>
    <row r="10" spans="1:5" x14ac:dyDescent="0.25">
      <c r="A10" s="445"/>
      <c r="B10" s="446"/>
      <c r="C10" s="140">
        <f>C9+1</f>
        <v>2</v>
      </c>
      <c r="D10" s="141"/>
      <c r="E10" s="144"/>
    </row>
    <row r="11" spans="1:5" x14ac:dyDescent="0.25">
      <c r="A11" s="445"/>
      <c r="B11" s="446"/>
      <c r="C11" s="140">
        <f>C10+1</f>
        <v>3</v>
      </c>
      <c r="D11" s="141"/>
      <c r="E11" s="144"/>
    </row>
    <row r="12" spans="1:5" ht="28.9" customHeight="1" x14ac:dyDescent="0.25">
      <c r="A12" s="442">
        <v>3</v>
      </c>
      <c r="B12" s="447" t="s">
        <v>272</v>
      </c>
      <c r="C12" s="140">
        <v>1</v>
      </c>
      <c r="D12" s="141"/>
      <c r="E12" s="142"/>
    </row>
    <row r="13" spans="1:5" x14ac:dyDescent="0.25">
      <c r="A13" s="443"/>
      <c r="B13" s="448"/>
      <c r="C13" s="140">
        <f>C12+1</f>
        <v>2</v>
      </c>
      <c r="D13" s="141"/>
      <c r="E13" s="142"/>
    </row>
    <row r="14" spans="1:5" x14ac:dyDescent="0.25">
      <c r="A14" s="444"/>
      <c r="B14" s="449"/>
      <c r="C14" s="140">
        <f>C13+1</f>
        <v>3</v>
      </c>
      <c r="D14" s="141"/>
      <c r="E14" s="142"/>
    </row>
    <row r="15" spans="1:5" x14ac:dyDescent="0.25">
      <c r="A15" s="445">
        <v>4</v>
      </c>
      <c r="B15" s="446" t="s">
        <v>273</v>
      </c>
      <c r="C15" s="140">
        <v>1</v>
      </c>
      <c r="D15" s="2"/>
      <c r="E15" s="145"/>
    </row>
    <row r="16" spans="1:5" x14ac:dyDescent="0.25">
      <c r="A16" s="445"/>
      <c r="B16" s="446"/>
      <c r="C16" s="140">
        <f>C15+1</f>
        <v>2</v>
      </c>
      <c r="D16" s="2"/>
      <c r="E16" s="145"/>
    </row>
    <row r="17" spans="1:5" x14ac:dyDescent="0.25">
      <c r="A17" s="445"/>
      <c r="B17" s="446"/>
      <c r="C17" s="140">
        <f>C16+1</f>
        <v>3</v>
      </c>
      <c r="D17" s="2"/>
      <c r="E17" s="145"/>
    </row>
    <row r="18" spans="1:5" ht="14.45" customHeight="1" x14ac:dyDescent="0.25">
      <c r="A18" s="445">
        <v>5</v>
      </c>
      <c r="B18" s="446" t="s">
        <v>275</v>
      </c>
      <c r="C18" s="140">
        <v>1</v>
      </c>
      <c r="D18" s="141"/>
      <c r="E18" s="144"/>
    </row>
    <row r="19" spans="1:5" x14ac:dyDescent="0.25">
      <c r="A19" s="445"/>
      <c r="B19" s="446"/>
      <c r="C19" s="140">
        <f>C18+1</f>
        <v>2</v>
      </c>
      <c r="D19" s="2"/>
      <c r="E19" s="145"/>
    </row>
    <row r="20" spans="1:5" x14ac:dyDescent="0.25">
      <c r="A20" s="445"/>
      <c r="B20" s="446"/>
      <c r="C20" s="140">
        <f>C19+1</f>
        <v>3</v>
      </c>
      <c r="D20" s="2"/>
      <c r="E20" s="145"/>
    </row>
    <row r="21" spans="1:5" x14ac:dyDescent="0.25">
      <c r="A21" s="445">
        <v>6</v>
      </c>
      <c r="B21" s="446" t="s">
        <v>277</v>
      </c>
      <c r="C21" s="140">
        <v>1</v>
      </c>
      <c r="D21" s="141"/>
      <c r="E21" s="144"/>
    </row>
    <row r="22" spans="1:5" x14ac:dyDescent="0.25">
      <c r="A22" s="445"/>
      <c r="B22" s="446"/>
      <c r="C22" s="140">
        <f>C21+1</f>
        <v>2</v>
      </c>
      <c r="D22" s="2"/>
      <c r="E22" s="145"/>
    </row>
    <row r="23" spans="1:5" x14ac:dyDescent="0.25">
      <c r="A23" s="445"/>
      <c r="B23" s="446"/>
      <c r="C23" s="140">
        <f>C22+1</f>
        <v>3</v>
      </c>
      <c r="D23" s="2"/>
      <c r="E23" s="145"/>
    </row>
    <row r="24" spans="1:5" x14ac:dyDescent="0.25">
      <c r="A24" s="445">
        <v>7</v>
      </c>
      <c r="B24" s="446" t="s">
        <v>278</v>
      </c>
      <c r="C24" s="140">
        <v>1</v>
      </c>
      <c r="D24" s="141"/>
      <c r="E24" s="144"/>
    </row>
    <row r="25" spans="1:5" x14ac:dyDescent="0.25">
      <c r="A25" s="445"/>
      <c r="B25" s="446"/>
      <c r="C25" s="140">
        <f>C24+1</f>
        <v>2</v>
      </c>
      <c r="D25" s="2"/>
      <c r="E25" s="145"/>
    </row>
    <row r="26" spans="1:5" x14ac:dyDescent="0.25">
      <c r="A26" s="445"/>
      <c r="B26" s="446"/>
      <c r="C26" s="140">
        <f>C25+1</f>
        <v>3</v>
      </c>
      <c r="D26" s="2"/>
      <c r="E26" s="145"/>
    </row>
    <row r="27" spans="1:5" x14ac:dyDescent="0.25">
      <c r="A27" s="445">
        <v>8</v>
      </c>
      <c r="B27" s="446" t="s">
        <v>279</v>
      </c>
      <c r="C27" s="140">
        <v>1</v>
      </c>
      <c r="D27" s="141"/>
      <c r="E27" s="144"/>
    </row>
    <row r="28" spans="1:5" x14ac:dyDescent="0.25">
      <c r="A28" s="445"/>
      <c r="B28" s="446"/>
      <c r="C28" s="140">
        <f>C27+1</f>
        <v>2</v>
      </c>
      <c r="D28" s="2"/>
      <c r="E28" s="145"/>
    </row>
    <row r="29" spans="1:5" x14ac:dyDescent="0.25">
      <c r="A29" s="445"/>
      <c r="B29" s="446"/>
      <c r="C29" s="140">
        <f>C28+1</f>
        <v>3</v>
      </c>
      <c r="D29" s="2"/>
      <c r="E29" s="145"/>
    </row>
    <row r="30" spans="1:5" x14ac:dyDescent="0.25">
      <c r="A30" s="445">
        <v>9</v>
      </c>
      <c r="B30" s="446" t="s">
        <v>280</v>
      </c>
      <c r="C30" s="140">
        <v>1</v>
      </c>
      <c r="D30" s="141"/>
      <c r="E30" s="142"/>
    </row>
    <row r="31" spans="1:5" x14ac:dyDescent="0.25">
      <c r="A31" s="445"/>
      <c r="B31" s="446"/>
      <c r="C31" s="140">
        <f>C30+1</f>
        <v>2</v>
      </c>
      <c r="D31" s="2"/>
      <c r="E31" s="2"/>
    </row>
    <row r="32" spans="1:5" x14ac:dyDescent="0.25">
      <c r="A32" s="445"/>
      <c r="B32" s="446"/>
      <c r="C32" s="140">
        <f>C31+1</f>
        <v>3</v>
      </c>
      <c r="D32" s="2"/>
      <c r="E32" s="2"/>
    </row>
    <row r="33" spans="1:5" x14ac:dyDescent="0.25">
      <c r="A33" s="445">
        <v>10</v>
      </c>
      <c r="B33" s="446" t="s">
        <v>281</v>
      </c>
      <c r="C33" s="140">
        <v>1</v>
      </c>
      <c r="D33" s="141"/>
      <c r="E33" s="142"/>
    </row>
    <row r="34" spans="1:5" x14ac:dyDescent="0.25">
      <c r="A34" s="445"/>
      <c r="B34" s="446"/>
      <c r="C34" s="140">
        <f>C33+1</f>
        <v>2</v>
      </c>
      <c r="D34" s="2"/>
      <c r="E34" s="2"/>
    </row>
    <row r="35" spans="1:5" x14ac:dyDescent="0.25">
      <c r="A35" s="445"/>
      <c r="B35" s="446"/>
      <c r="C35" s="140">
        <f>C34+1</f>
        <v>3</v>
      </c>
      <c r="D35" s="2"/>
      <c r="E35" s="2"/>
    </row>
    <row r="36" spans="1:5" x14ac:dyDescent="0.25">
      <c r="A36" s="445">
        <v>11</v>
      </c>
      <c r="B36" s="446" t="s">
        <v>282</v>
      </c>
      <c r="C36" s="140">
        <v>1</v>
      </c>
      <c r="D36" s="141"/>
      <c r="E36" s="142"/>
    </row>
    <row r="37" spans="1:5" x14ac:dyDescent="0.25">
      <c r="A37" s="445"/>
      <c r="B37" s="446"/>
      <c r="C37" s="140">
        <f>C36+1</f>
        <v>2</v>
      </c>
      <c r="D37" s="2"/>
      <c r="E37" s="2"/>
    </row>
    <row r="38" spans="1:5" x14ac:dyDescent="0.25">
      <c r="A38" s="445"/>
      <c r="B38" s="446"/>
      <c r="C38" s="140">
        <f>C37+1</f>
        <v>3</v>
      </c>
      <c r="D38" s="2"/>
      <c r="E38" s="2"/>
    </row>
    <row r="39" spans="1:5" x14ac:dyDescent="0.25">
      <c r="A39" s="445">
        <v>12</v>
      </c>
      <c r="B39" s="446" t="s">
        <v>283</v>
      </c>
      <c r="C39" s="140">
        <v>1</v>
      </c>
      <c r="D39" s="141"/>
      <c r="E39" s="142"/>
    </row>
    <row r="40" spans="1:5" x14ac:dyDescent="0.25">
      <c r="A40" s="445"/>
      <c r="B40" s="446"/>
      <c r="C40" s="140">
        <f>C39+1</f>
        <v>2</v>
      </c>
      <c r="D40" s="2"/>
      <c r="E40" s="2"/>
    </row>
    <row r="41" spans="1:5" x14ac:dyDescent="0.25">
      <c r="A41" s="445"/>
      <c r="B41" s="446"/>
      <c r="C41" s="140">
        <f>C40+1</f>
        <v>3</v>
      </c>
      <c r="D41" s="2"/>
      <c r="E41" s="2"/>
    </row>
    <row r="42" spans="1:5" x14ac:dyDescent="0.25">
      <c r="A42" s="445">
        <v>13</v>
      </c>
      <c r="B42" s="446" t="s">
        <v>284</v>
      </c>
      <c r="C42" s="140">
        <v>1</v>
      </c>
      <c r="D42" s="141"/>
      <c r="E42" s="142"/>
    </row>
    <row r="43" spans="1:5" x14ac:dyDescent="0.25">
      <c r="A43" s="445"/>
      <c r="B43" s="446"/>
      <c r="C43" s="140">
        <f>C42+1</f>
        <v>2</v>
      </c>
      <c r="D43" s="2"/>
      <c r="E43" s="2"/>
    </row>
    <row r="44" spans="1:5" x14ac:dyDescent="0.25">
      <c r="A44" s="445"/>
      <c r="B44" s="446"/>
      <c r="C44" s="140">
        <f>C43+1</f>
        <v>3</v>
      </c>
      <c r="D44" s="2"/>
      <c r="E44" s="2"/>
    </row>
    <row r="45" spans="1:5" x14ac:dyDescent="0.25">
      <c r="A45" s="445">
        <v>14</v>
      </c>
      <c r="B45" s="446" t="s">
        <v>285</v>
      </c>
      <c r="C45" s="140">
        <v>1</v>
      </c>
      <c r="D45" s="141"/>
      <c r="E45" s="142"/>
    </row>
    <row r="46" spans="1:5" x14ac:dyDescent="0.25">
      <c r="A46" s="445"/>
      <c r="B46" s="446"/>
      <c r="C46" s="140">
        <f>C45+1</f>
        <v>2</v>
      </c>
      <c r="D46" s="2"/>
      <c r="E46" s="2"/>
    </row>
    <row r="47" spans="1:5" x14ac:dyDescent="0.25">
      <c r="A47" s="445"/>
      <c r="B47" s="446"/>
      <c r="C47" s="140">
        <f>C46+1</f>
        <v>3</v>
      </c>
      <c r="D47" s="2"/>
      <c r="E47" s="2"/>
    </row>
    <row r="48" spans="1:5" x14ac:dyDescent="0.25">
      <c r="A48" s="445">
        <v>15</v>
      </c>
      <c r="B48" s="446" t="s">
        <v>286</v>
      </c>
      <c r="C48" s="140">
        <v>1</v>
      </c>
      <c r="D48" s="141"/>
      <c r="E48" s="142"/>
    </row>
    <row r="49" spans="1:5" x14ac:dyDescent="0.25">
      <c r="A49" s="445"/>
      <c r="B49" s="446"/>
      <c r="C49" s="140">
        <f>C48+1</f>
        <v>2</v>
      </c>
      <c r="D49" s="2"/>
      <c r="E49" s="2"/>
    </row>
    <row r="50" spans="1:5" x14ac:dyDescent="0.25">
      <c r="A50" s="445"/>
      <c r="B50" s="446"/>
      <c r="C50" s="140">
        <f>C49+1</f>
        <v>3</v>
      </c>
      <c r="D50" s="2"/>
      <c r="E50" s="2"/>
    </row>
    <row r="51" spans="1:5" x14ac:dyDescent="0.25">
      <c r="A51" s="445">
        <v>16</v>
      </c>
      <c r="B51" s="446" t="s">
        <v>287</v>
      </c>
      <c r="C51" s="140">
        <v>1</v>
      </c>
      <c r="D51" s="141"/>
      <c r="E51" s="142"/>
    </row>
    <row r="52" spans="1:5" x14ac:dyDescent="0.25">
      <c r="A52" s="445"/>
      <c r="B52" s="446"/>
      <c r="C52" s="140">
        <f>C51+1</f>
        <v>2</v>
      </c>
      <c r="D52" s="2"/>
      <c r="E52" s="2"/>
    </row>
    <row r="53" spans="1:5" x14ac:dyDescent="0.25">
      <c r="A53" s="445"/>
      <c r="B53" s="446"/>
      <c r="C53" s="140">
        <f>C52+1</f>
        <v>3</v>
      </c>
      <c r="D53" s="2"/>
      <c r="E53" s="2"/>
    </row>
  </sheetData>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175"/>
  <sheetViews>
    <sheetView zoomScale="110" zoomScaleNormal="110" workbookViewId="0">
      <pane xSplit="2" ySplit="3" topLeftCell="C163" activePane="bottomRight" state="frozen"/>
      <selection activeCell="Q194" sqref="Q194"/>
      <selection pane="topRight" activeCell="Q194" sqref="Q194"/>
      <selection pane="bottomLeft" activeCell="Q194" sqref="Q194"/>
      <selection pane="bottomRight" activeCell="G180" sqref="G180"/>
    </sheetView>
  </sheetViews>
  <sheetFormatPr defaultColWidth="8.85546875" defaultRowHeight="15" x14ac:dyDescent="0.25"/>
  <cols>
    <col min="1" max="1" width="6" style="134" customWidth="1"/>
    <col min="2" max="2" width="30" style="134" customWidth="1"/>
    <col min="3" max="3" width="5.42578125" style="134" customWidth="1"/>
    <col min="4" max="4" width="79.42578125" style="134" customWidth="1"/>
    <col min="5" max="5" width="20.7109375" style="134" customWidth="1"/>
    <col min="6" max="6" width="15.7109375" style="134" customWidth="1"/>
  </cols>
  <sheetData>
    <row r="1" spans="1:6" ht="15.75" x14ac:dyDescent="0.25">
      <c r="A1" s="146" t="s">
        <v>170</v>
      </c>
      <c r="B1" s="147"/>
      <c r="C1" s="147"/>
    </row>
    <row r="3" spans="1:6" ht="30" x14ac:dyDescent="0.25">
      <c r="A3" s="135" t="s">
        <v>257</v>
      </c>
      <c r="B3" s="135" t="s">
        <v>174</v>
      </c>
      <c r="C3" s="135" t="s">
        <v>257</v>
      </c>
      <c r="D3" s="135" t="s">
        <v>293</v>
      </c>
      <c r="E3" s="135" t="s">
        <v>288</v>
      </c>
      <c r="F3" s="135" t="s">
        <v>262</v>
      </c>
    </row>
    <row r="4" spans="1:6" ht="30" x14ac:dyDescent="0.25">
      <c r="A4" s="442">
        <v>1</v>
      </c>
      <c r="B4" s="447" t="s">
        <v>294</v>
      </c>
      <c r="C4" s="242">
        <v>1</v>
      </c>
      <c r="D4" s="243" t="s">
        <v>295</v>
      </c>
      <c r="E4" s="244">
        <v>300</v>
      </c>
      <c r="F4" s="242" t="s">
        <v>296</v>
      </c>
    </row>
    <row r="5" spans="1:6" ht="45" x14ac:dyDescent="0.25">
      <c r="A5" s="443"/>
      <c r="B5" s="448"/>
      <c r="C5" s="242">
        <f>C4+1</f>
        <v>2</v>
      </c>
      <c r="D5" s="243" t="s">
        <v>297</v>
      </c>
      <c r="E5" s="244">
        <v>13000</v>
      </c>
      <c r="F5" s="242" t="s">
        <v>296</v>
      </c>
    </row>
    <row r="6" spans="1:6" ht="30" x14ac:dyDescent="0.25">
      <c r="A6" s="443"/>
      <c r="B6" s="448"/>
      <c r="C6" s="242">
        <f>C5+1</f>
        <v>3</v>
      </c>
      <c r="D6" s="243" t="s">
        <v>298</v>
      </c>
      <c r="E6" s="244">
        <v>2100</v>
      </c>
      <c r="F6" s="242" t="s">
        <v>296</v>
      </c>
    </row>
    <row r="7" spans="1:6" ht="30" x14ac:dyDescent="0.25">
      <c r="A7" s="443"/>
      <c r="B7" s="448"/>
      <c r="C7" s="242">
        <f>C6+1</f>
        <v>4</v>
      </c>
      <c r="D7" s="243" t="s">
        <v>299</v>
      </c>
      <c r="E7" s="244">
        <v>1700</v>
      </c>
      <c r="F7" s="242" t="s">
        <v>296</v>
      </c>
    </row>
    <row r="8" spans="1:6" ht="30" x14ac:dyDescent="0.25">
      <c r="A8" s="443"/>
      <c r="B8" s="448"/>
      <c r="C8" s="242">
        <f>C7+1</f>
        <v>5</v>
      </c>
      <c r="D8" s="243" t="s">
        <v>299</v>
      </c>
      <c r="E8" s="244">
        <v>25000</v>
      </c>
      <c r="F8" s="242" t="s">
        <v>296</v>
      </c>
    </row>
    <row r="9" spans="1:6" ht="30" x14ac:dyDescent="0.25">
      <c r="A9" s="443"/>
      <c r="B9" s="448"/>
      <c r="C9" s="242">
        <f>C8+1</f>
        <v>6</v>
      </c>
      <c r="D9" s="243" t="s">
        <v>300</v>
      </c>
      <c r="E9" s="244">
        <v>7500</v>
      </c>
      <c r="F9" s="242" t="s">
        <v>296</v>
      </c>
    </row>
    <row r="10" spans="1:6" ht="30" x14ac:dyDescent="0.25">
      <c r="A10" s="236">
        <v>2</v>
      </c>
      <c r="B10" s="237" t="s">
        <v>301</v>
      </c>
      <c r="C10" s="242">
        <v>1</v>
      </c>
      <c r="D10" s="243" t="s">
        <v>302</v>
      </c>
      <c r="E10" s="244">
        <v>1000</v>
      </c>
      <c r="F10" s="242" t="s">
        <v>296</v>
      </c>
    </row>
    <row r="11" spans="1:6" ht="30" x14ac:dyDescent="0.25">
      <c r="A11" s="442">
        <v>3</v>
      </c>
      <c r="B11" s="447" t="s">
        <v>303</v>
      </c>
      <c r="C11" s="242">
        <v>1</v>
      </c>
      <c r="D11" s="243" t="s">
        <v>304</v>
      </c>
      <c r="E11" s="244">
        <v>900</v>
      </c>
      <c r="F11" s="242" t="s">
        <v>296</v>
      </c>
    </row>
    <row r="12" spans="1:6" ht="45" x14ac:dyDescent="0.25">
      <c r="A12" s="444"/>
      <c r="B12" s="449"/>
      <c r="C12" s="242">
        <f>C11+1</f>
        <v>2</v>
      </c>
      <c r="D12" s="243" t="s">
        <v>305</v>
      </c>
      <c r="E12" s="244">
        <v>1000</v>
      </c>
      <c r="F12" s="242" t="s">
        <v>296</v>
      </c>
    </row>
    <row r="13" spans="1:6" x14ac:dyDescent="0.25">
      <c r="A13" s="442">
        <v>4</v>
      </c>
      <c r="B13" s="447" t="s">
        <v>306</v>
      </c>
      <c r="C13" s="242">
        <v>1</v>
      </c>
      <c r="D13" s="243" t="s">
        <v>307</v>
      </c>
      <c r="E13" s="244">
        <v>500</v>
      </c>
      <c r="F13" s="242" t="s">
        <v>296</v>
      </c>
    </row>
    <row r="14" spans="1:6" x14ac:dyDescent="0.25">
      <c r="A14" s="444"/>
      <c r="B14" s="449"/>
      <c r="C14" s="242">
        <f>C13+1</f>
        <v>2</v>
      </c>
      <c r="D14" s="243" t="s">
        <v>308</v>
      </c>
      <c r="E14" s="244">
        <v>600</v>
      </c>
      <c r="F14" s="242" t="s">
        <v>296</v>
      </c>
    </row>
    <row r="15" spans="1:6" ht="30" x14ac:dyDescent="0.25">
      <c r="A15" s="442">
        <v>5</v>
      </c>
      <c r="B15" s="447" t="s">
        <v>309</v>
      </c>
      <c r="C15" s="242">
        <v>1</v>
      </c>
      <c r="D15" s="243" t="s">
        <v>310</v>
      </c>
      <c r="E15" s="244">
        <v>38000</v>
      </c>
      <c r="F15" s="242" t="s">
        <v>296</v>
      </c>
    </row>
    <row r="16" spans="1:6" x14ac:dyDescent="0.25">
      <c r="A16" s="443"/>
      <c r="B16" s="448"/>
      <c r="C16" s="242">
        <f>C15+1</f>
        <v>2</v>
      </c>
      <c r="D16" s="243" t="s">
        <v>311</v>
      </c>
      <c r="E16" s="244">
        <v>200</v>
      </c>
      <c r="F16" s="242" t="s">
        <v>296</v>
      </c>
    </row>
    <row r="17" spans="1:6" ht="30" x14ac:dyDescent="0.25">
      <c r="A17" s="443"/>
      <c r="B17" s="448"/>
      <c r="C17" s="242">
        <f t="shared" ref="C17:C30" si="0">C16+1</f>
        <v>3</v>
      </c>
      <c r="D17" s="243" t="s">
        <v>312</v>
      </c>
      <c r="E17" s="244">
        <v>2000</v>
      </c>
      <c r="F17" s="242" t="s">
        <v>296</v>
      </c>
    </row>
    <row r="18" spans="1:6" ht="30" x14ac:dyDescent="0.25">
      <c r="A18" s="443"/>
      <c r="B18" s="448"/>
      <c r="C18" s="242">
        <f t="shared" si="0"/>
        <v>4</v>
      </c>
      <c r="D18" s="243" t="s">
        <v>313</v>
      </c>
      <c r="E18" s="244">
        <v>350</v>
      </c>
      <c r="F18" s="242" t="s">
        <v>296</v>
      </c>
    </row>
    <row r="19" spans="1:6" ht="30" x14ac:dyDescent="0.25">
      <c r="A19" s="443"/>
      <c r="B19" s="448"/>
      <c r="C19" s="242">
        <f t="shared" si="0"/>
        <v>5</v>
      </c>
      <c r="D19" s="243" t="s">
        <v>314</v>
      </c>
      <c r="E19" s="244">
        <v>10500</v>
      </c>
      <c r="F19" s="242" t="s">
        <v>296</v>
      </c>
    </row>
    <row r="20" spans="1:6" ht="45" x14ac:dyDescent="0.25">
      <c r="A20" s="443"/>
      <c r="B20" s="448"/>
      <c r="C20" s="242">
        <f t="shared" si="0"/>
        <v>6</v>
      </c>
      <c r="D20" s="243" t="s">
        <v>315</v>
      </c>
      <c r="E20" s="244">
        <v>500</v>
      </c>
      <c r="F20" s="242" t="s">
        <v>296</v>
      </c>
    </row>
    <row r="21" spans="1:6" ht="30" x14ac:dyDescent="0.25">
      <c r="A21" s="443"/>
      <c r="B21" s="448"/>
      <c r="C21" s="242">
        <f t="shared" si="0"/>
        <v>7</v>
      </c>
      <c r="D21" s="243" t="s">
        <v>316</v>
      </c>
      <c r="E21" s="244">
        <v>7000</v>
      </c>
      <c r="F21" s="242" t="s">
        <v>296</v>
      </c>
    </row>
    <row r="22" spans="1:6" ht="30" x14ac:dyDescent="0.25">
      <c r="A22" s="443"/>
      <c r="B22" s="448"/>
      <c r="C22" s="242">
        <f t="shared" si="0"/>
        <v>8</v>
      </c>
      <c r="D22" s="243" t="s">
        <v>317</v>
      </c>
      <c r="E22" s="244">
        <v>40</v>
      </c>
      <c r="F22" s="242" t="s">
        <v>296</v>
      </c>
    </row>
    <row r="23" spans="1:6" ht="30" x14ac:dyDescent="0.25">
      <c r="A23" s="443"/>
      <c r="B23" s="448"/>
      <c r="C23" s="242">
        <f t="shared" si="0"/>
        <v>9</v>
      </c>
      <c r="D23" s="243" t="s">
        <v>318</v>
      </c>
      <c r="E23" s="244">
        <v>290</v>
      </c>
      <c r="F23" s="242" t="s">
        <v>296</v>
      </c>
    </row>
    <row r="24" spans="1:6" ht="45" x14ac:dyDescent="0.25">
      <c r="A24" s="443"/>
      <c r="B24" s="448"/>
      <c r="C24" s="242">
        <f t="shared" si="0"/>
        <v>10</v>
      </c>
      <c r="D24" s="243" t="s">
        <v>319</v>
      </c>
      <c r="E24" s="244">
        <v>60</v>
      </c>
      <c r="F24" s="242" t="s">
        <v>296</v>
      </c>
    </row>
    <row r="25" spans="1:6" x14ac:dyDescent="0.25">
      <c r="A25" s="443"/>
      <c r="B25" s="448"/>
      <c r="C25" s="242">
        <f t="shared" si="0"/>
        <v>11</v>
      </c>
      <c r="D25" s="243" t="s">
        <v>320</v>
      </c>
      <c r="E25" s="244">
        <v>40</v>
      </c>
      <c r="F25" s="242" t="s">
        <v>296</v>
      </c>
    </row>
    <row r="26" spans="1:6" x14ac:dyDescent="0.25">
      <c r="A26" s="443"/>
      <c r="B26" s="448"/>
      <c r="C26" s="242">
        <f t="shared" si="0"/>
        <v>12</v>
      </c>
      <c r="D26" s="243" t="s">
        <v>321</v>
      </c>
      <c r="E26" s="244">
        <v>300</v>
      </c>
      <c r="F26" s="242" t="s">
        <v>296</v>
      </c>
    </row>
    <row r="27" spans="1:6" ht="60" x14ac:dyDescent="0.25">
      <c r="A27" s="443"/>
      <c r="B27" s="448"/>
      <c r="C27" s="242">
        <f t="shared" si="0"/>
        <v>13</v>
      </c>
      <c r="D27" s="243" t="s">
        <v>322</v>
      </c>
      <c r="E27" s="244">
        <v>15000</v>
      </c>
      <c r="F27" s="242" t="s">
        <v>296</v>
      </c>
    </row>
    <row r="28" spans="1:6" ht="45" x14ac:dyDescent="0.25">
      <c r="A28" s="443"/>
      <c r="B28" s="448"/>
      <c r="C28" s="242">
        <f t="shared" si="0"/>
        <v>14</v>
      </c>
      <c r="D28" s="243" t="s">
        <v>323</v>
      </c>
      <c r="E28" s="244">
        <v>580</v>
      </c>
      <c r="F28" s="242" t="s">
        <v>296</v>
      </c>
    </row>
    <row r="29" spans="1:6" ht="30" x14ac:dyDescent="0.25">
      <c r="A29" s="443"/>
      <c r="B29" s="448"/>
      <c r="C29" s="242">
        <f t="shared" si="0"/>
        <v>15</v>
      </c>
      <c r="D29" s="243" t="s">
        <v>324</v>
      </c>
      <c r="E29" s="244">
        <v>120</v>
      </c>
      <c r="F29" s="242" t="s">
        <v>296</v>
      </c>
    </row>
    <row r="30" spans="1:6" ht="30" x14ac:dyDescent="0.25">
      <c r="A30" s="444"/>
      <c r="B30" s="449"/>
      <c r="C30" s="242">
        <f t="shared" si="0"/>
        <v>16</v>
      </c>
      <c r="D30" s="243" t="s">
        <v>325</v>
      </c>
      <c r="E30" s="244">
        <v>119</v>
      </c>
      <c r="F30" s="242" t="s">
        <v>296</v>
      </c>
    </row>
    <row r="31" spans="1:6" ht="30" x14ac:dyDescent="0.25">
      <c r="A31" s="236">
        <v>6</v>
      </c>
      <c r="B31" s="237" t="s">
        <v>326</v>
      </c>
      <c r="C31" s="242">
        <v>1</v>
      </c>
      <c r="D31" s="243" t="s">
        <v>327</v>
      </c>
      <c r="E31" s="244">
        <v>43000</v>
      </c>
      <c r="F31" s="242" t="s">
        <v>296</v>
      </c>
    </row>
    <row r="32" spans="1:6" ht="30" x14ac:dyDescent="0.25">
      <c r="A32" s="442">
        <v>7</v>
      </c>
      <c r="B32" s="447" t="s">
        <v>328</v>
      </c>
      <c r="C32" s="242">
        <v>1</v>
      </c>
      <c r="D32" s="243" t="s">
        <v>329</v>
      </c>
      <c r="E32" s="244">
        <v>0.11</v>
      </c>
      <c r="F32" s="242" t="s">
        <v>296</v>
      </c>
    </row>
    <row r="33" spans="1:6" ht="60" x14ac:dyDescent="0.25">
      <c r="A33" s="443"/>
      <c r="B33" s="448"/>
      <c r="C33" s="242">
        <f>C32+1</f>
        <v>2</v>
      </c>
      <c r="D33" s="243" t="s">
        <v>330</v>
      </c>
      <c r="E33" s="244">
        <v>3500</v>
      </c>
      <c r="F33" s="242" t="s">
        <v>296</v>
      </c>
    </row>
    <row r="34" spans="1:6" ht="30" x14ac:dyDescent="0.25">
      <c r="A34" s="443"/>
      <c r="B34" s="448"/>
      <c r="C34" s="242">
        <f t="shared" ref="C34:C74" si="1">C33+1</f>
        <v>3</v>
      </c>
      <c r="D34" s="243" t="s">
        <v>331</v>
      </c>
      <c r="E34" s="244">
        <v>0.38</v>
      </c>
      <c r="F34" s="242" t="s">
        <v>296</v>
      </c>
    </row>
    <row r="35" spans="1:6" ht="30" x14ac:dyDescent="0.25">
      <c r="A35" s="443"/>
      <c r="B35" s="448"/>
      <c r="C35" s="242">
        <f t="shared" si="1"/>
        <v>4</v>
      </c>
      <c r="D35" s="243" t="s">
        <v>332</v>
      </c>
      <c r="E35" s="244">
        <v>4500</v>
      </c>
      <c r="F35" s="242" t="s">
        <v>296</v>
      </c>
    </row>
    <row r="36" spans="1:6" ht="30" x14ac:dyDescent="0.25">
      <c r="A36" s="443"/>
      <c r="B36" s="448"/>
      <c r="C36" s="242">
        <f t="shared" si="1"/>
        <v>5</v>
      </c>
      <c r="D36" s="243" t="s">
        <v>333</v>
      </c>
      <c r="E36" s="244">
        <v>50000</v>
      </c>
      <c r="F36" s="242" t="s">
        <v>296</v>
      </c>
    </row>
    <row r="37" spans="1:6" ht="30" x14ac:dyDescent="0.25">
      <c r="A37" s="443"/>
      <c r="B37" s="448"/>
      <c r="C37" s="242">
        <f t="shared" si="1"/>
        <v>6</v>
      </c>
      <c r="D37" s="243" t="s">
        <v>334</v>
      </c>
      <c r="E37" s="244">
        <v>4000</v>
      </c>
      <c r="F37" s="242" t="s">
        <v>296</v>
      </c>
    </row>
    <row r="38" spans="1:6" ht="30" x14ac:dyDescent="0.25">
      <c r="A38" s="443"/>
      <c r="B38" s="448"/>
      <c r="C38" s="242">
        <f t="shared" si="1"/>
        <v>7</v>
      </c>
      <c r="D38" s="243" t="s">
        <v>335</v>
      </c>
      <c r="E38" s="244">
        <v>4500</v>
      </c>
      <c r="F38" s="242" t="s">
        <v>296</v>
      </c>
    </row>
    <row r="39" spans="1:6" ht="30" x14ac:dyDescent="0.25">
      <c r="A39" s="443"/>
      <c r="B39" s="448"/>
      <c r="C39" s="242">
        <f t="shared" si="1"/>
        <v>8</v>
      </c>
      <c r="D39" s="243" t="s">
        <v>336</v>
      </c>
      <c r="E39" s="244">
        <v>3500</v>
      </c>
      <c r="F39" s="242" t="s">
        <v>296</v>
      </c>
    </row>
    <row r="40" spans="1:6" ht="45" x14ac:dyDescent="0.25">
      <c r="A40" s="443"/>
      <c r="B40" s="448"/>
      <c r="C40" s="242">
        <f t="shared" si="1"/>
        <v>9</v>
      </c>
      <c r="D40" s="243" t="s">
        <v>337</v>
      </c>
      <c r="E40" s="244">
        <v>4000</v>
      </c>
      <c r="F40" s="242" t="s">
        <v>296</v>
      </c>
    </row>
    <row r="41" spans="1:6" ht="45" x14ac:dyDescent="0.25">
      <c r="A41" s="443"/>
      <c r="B41" s="448"/>
      <c r="C41" s="242">
        <f t="shared" si="1"/>
        <v>10</v>
      </c>
      <c r="D41" s="243" t="s">
        <v>338</v>
      </c>
      <c r="E41" s="244">
        <v>25000</v>
      </c>
      <c r="F41" s="242" t="s">
        <v>296</v>
      </c>
    </row>
    <row r="42" spans="1:6" ht="30" x14ac:dyDescent="0.25">
      <c r="A42" s="443"/>
      <c r="B42" s="448"/>
      <c r="C42" s="242">
        <f t="shared" si="1"/>
        <v>11</v>
      </c>
      <c r="D42" s="243" t="s">
        <v>339</v>
      </c>
      <c r="E42" s="244">
        <v>5000</v>
      </c>
      <c r="F42" s="242" t="s">
        <v>296</v>
      </c>
    </row>
    <row r="43" spans="1:6" ht="45" x14ac:dyDescent="0.25">
      <c r="A43" s="443"/>
      <c r="B43" s="448"/>
      <c r="C43" s="242">
        <f t="shared" si="1"/>
        <v>12</v>
      </c>
      <c r="D43" s="243" t="s">
        <v>340</v>
      </c>
      <c r="E43" s="244">
        <v>20000</v>
      </c>
      <c r="F43" s="242" t="s">
        <v>296</v>
      </c>
    </row>
    <row r="44" spans="1:6" ht="30" x14ac:dyDescent="0.25">
      <c r="A44" s="443"/>
      <c r="B44" s="448"/>
      <c r="C44" s="242">
        <f t="shared" si="1"/>
        <v>13</v>
      </c>
      <c r="D44" s="243" t="s">
        <v>341</v>
      </c>
      <c r="E44" s="244">
        <v>55000</v>
      </c>
      <c r="F44" s="242" t="s">
        <v>296</v>
      </c>
    </row>
    <row r="45" spans="1:6" ht="45" x14ac:dyDescent="0.25">
      <c r="A45" s="443"/>
      <c r="B45" s="448"/>
      <c r="C45" s="242">
        <f t="shared" si="1"/>
        <v>14</v>
      </c>
      <c r="D45" s="243" t="s">
        <v>342</v>
      </c>
      <c r="E45" s="244">
        <v>38500</v>
      </c>
      <c r="F45" s="242" t="s">
        <v>296</v>
      </c>
    </row>
    <row r="46" spans="1:6" ht="30" x14ac:dyDescent="0.25">
      <c r="A46" s="443"/>
      <c r="B46" s="448"/>
      <c r="C46" s="242">
        <f t="shared" si="1"/>
        <v>15</v>
      </c>
      <c r="D46" s="243" t="s">
        <v>343</v>
      </c>
      <c r="E46" s="244">
        <v>9000</v>
      </c>
      <c r="F46" s="242" t="s">
        <v>296</v>
      </c>
    </row>
    <row r="47" spans="1:6" ht="30" x14ac:dyDescent="0.25">
      <c r="A47" s="443"/>
      <c r="B47" s="448"/>
      <c r="C47" s="242">
        <f t="shared" si="1"/>
        <v>16</v>
      </c>
      <c r="D47" s="243" t="s">
        <v>344</v>
      </c>
      <c r="E47" s="244">
        <v>24400</v>
      </c>
      <c r="F47" s="242" t="s">
        <v>296</v>
      </c>
    </row>
    <row r="48" spans="1:6" ht="45" x14ac:dyDescent="0.25">
      <c r="A48" s="443"/>
      <c r="B48" s="448"/>
      <c r="C48" s="242">
        <f t="shared" si="1"/>
        <v>17</v>
      </c>
      <c r="D48" s="243" t="s">
        <v>345</v>
      </c>
      <c r="E48" s="244">
        <v>70000</v>
      </c>
      <c r="F48" s="242" t="s">
        <v>296</v>
      </c>
    </row>
    <row r="49" spans="1:6" ht="45" x14ac:dyDescent="0.25">
      <c r="A49" s="443"/>
      <c r="B49" s="448"/>
      <c r="C49" s="242">
        <f t="shared" si="1"/>
        <v>18</v>
      </c>
      <c r="D49" s="243" t="s">
        <v>346</v>
      </c>
      <c r="E49" s="244">
        <v>4500</v>
      </c>
      <c r="F49" s="242" t="s">
        <v>296</v>
      </c>
    </row>
    <row r="50" spans="1:6" ht="30" x14ac:dyDescent="0.25">
      <c r="A50" s="443"/>
      <c r="B50" s="448"/>
      <c r="C50" s="242">
        <f t="shared" si="1"/>
        <v>19</v>
      </c>
      <c r="D50" s="243" t="s">
        <v>347</v>
      </c>
      <c r="E50" s="244">
        <v>7000</v>
      </c>
      <c r="F50" s="242" t="s">
        <v>296</v>
      </c>
    </row>
    <row r="51" spans="1:6" ht="45" x14ac:dyDescent="0.25">
      <c r="A51" s="443"/>
      <c r="B51" s="448"/>
      <c r="C51" s="242">
        <f t="shared" si="1"/>
        <v>20</v>
      </c>
      <c r="D51" s="243" t="s">
        <v>348</v>
      </c>
      <c r="E51" s="244">
        <v>5000</v>
      </c>
      <c r="F51" s="242" t="s">
        <v>296</v>
      </c>
    </row>
    <row r="52" spans="1:6" x14ac:dyDescent="0.25">
      <c r="A52" s="443"/>
      <c r="B52" s="448"/>
      <c r="C52" s="242">
        <f t="shared" si="1"/>
        <v>21</v>
      </c>
      <c r="D52" s="243" t="s">
        <v>349</v>
      </c>
      <c r="E52" s="244">
        <v>60</v>
      </c>
      <c r="F52" s="242" t="s">
        <v>296</v>
      </c>
    </row>
    <row r="53" spans="1:6" ht="60" x14ac:dyDescent="0.25">
      <c r="A53" s="443"/>
      <c r="B53" s="448"/>
      <c r="C53" s="242">
        <f t="shared" si="1"/>
        <v>22</v>
      </c>
      <c r="D53" s="243" t="s">
        <v>350</v>
      </c>
      <c r="E53" s="244">
        <v>4000</v>
      </c>
      <c r="F53" s="242" t="s">
        <v>296</v>
      </c>
    </row>
    <row r="54" spans="1:6" ht="30" x14ac:dyDescent="0.25">
      <c r="A54" s="443"/>
      <c r="B54" s="448"/>
      <c r="C54" s="242">
        <f t="shared" si="1"/>
        <v>23</v>
      </c>
      <c r="D54" s="243" t="s">
        <v>351</v>
      </c>
      <c r="E54" s="244">
        <v>7000</v>
      </c>
      <c r="F54" s="242" t="s">
        <v>296</v>
      </c>
    </row>
    <row r="55" spans="1:6" ht="30" x14ac:dyDescent="0.25">
      <c r="A55" s="443"/>
      <c r="B55" s="448"/>
      <c r="C55" s="242">
        <f t="shared" si="1"/>
        <v>24</v>
      </c>
      <c r="D55" s="243" t="s">
        <v>352</v>
      </c>
      <c r="E55" s="244">
        <v>5000</v>
      </c>
      <c r="F55" s="242" t="s">
        <v>296</v>
      </c>
    </row>
    <row r="56" spans="1:6" ht="60" x14ac:dyDescent="0.25">
      <c r="A56" s="443"/>
      <c r="B56" s="448"/>
      <c r="C56" s="242">
        <f t="shared" si="1"/>
        <v>25</v>
      </c>
      <c r="D56" s="243" t="s">
        <v>353</v>
      </c>
      <c r="E56" s="244">
        <v>11000</v>
      </c>
      <c r="F56" s="242" t="s">
        <v>296</v>
      </c>
    </row>
    <row r="57" spans="1:6" ht="60" x14ac:dyDescent="0.25">
      <c r="A57" s="443"/>
      <c r="B57" s="448"/>
      <c r="C57" s="242">
        <f t="shared" si="1"/>
        <v>26</v>
      </c>
      <c r="D57" s="243" t="s">
        <v>354</v>
      </c>
      <c r="E57" s="244">
        <v>16000</v>
      </c>
      <c r="F57" s="242" t="s">
        <v>296</v>
      </c>
    </row>
    <row r="58" spans="1:6" ht="45" x14ac:dyDescent="0.25">
      <c r="A58" s="443"/>
      <c r="B58" s="448"/>
      <c r="C58" s="242">
        <f t="shared" si="1"/>
        <v>27</v>
      </c>
      <c r="D58" s="243" t="s">
        <v>355</v>
      </c>
      <c r="E58" s="244">
        <v>11000</v>
      </c>
      <c r="F58" s="242" t="s">
        <v>296</v>
      </c>
    </row>
    <row r="59" spans="1:6" ht="30" x14ac:dyDescent="0.25">
      <c r="A59" s="443"/>
      <c r="B59" s="448"/>
      <c r="C59" s="242">
        <f t="shared" si="1"/>
        <v>28</v>
      </c>
      <c r="D59" s="243" t="s">
        <v>356</v>
      </c>
      <c r="E59" s="244">
        <v>5000</v>
      </c>
      <c r="F59" s="242" t="s">
        <v>296</v>
      </c>
    </row>
    <row r="60" spans="1:6" ht="45" x14ac:dyDescent="0.25">
      <c r="A60" s="443"/>
      <c r="B60" s="448"/>
      <c r="C60" s="242">
        <f t="shared" si="1"/>
        <v>29</v>
      </c>
      <c r="D60" s="243" t="s">
        <v>357</v>
      </c>
      <c r="E60" s="244">
        <v>3500</v>
      </c>
      <c r="F60" s="242" t="s">
        <v>296</v>
      </c>
    </row>
    <row r="61" spans="1:6" ht="45" x14ac:dyDescent="0.25">
      <c r="A61" s="443"/>
      <c r="B61" s="448"/>
      <c r="C61" s="242">
        <f t="shared" si="1"/>
        <v>30</v>
      </c>
      <c r="D61" s="243" t="s">
        <v>358</v>
      </c>
      <c r="E61" s="244">
        <v>3000</v>
      </c>
      <c r="F61" s="242" t="s">
        <v>296</v>
      </c>
    </row>
    <row r="62" spans="1:6" ht="45" x14ac:dyDescent="0.25">
      <c r="A62" s="443"/>
      <c r="B62" s="448"/>
      <c r="C62" s="242">
        <f t="shared" si="1"/>
        <v>31</v>
      </c>
      <c r="D62" s="243" t="s">
        <v>359</v>
      </c>
      <c r="E62" s="244">
        <v>9500</v>
      </c>
      <c r="F62" s="242" t="s">
        <v>296</v>
      </c>
    </row>
    <row r="63" spans="1:6" ht="30" x14ac:dyDescent="0.25">
      <c r="A63" s="443"/>
      <c r="B63" s="448"/>
      <c r="C63" s="242">
        <f t="shared" si="1"/>
        <v>32</v>
      </c>
      <c r="D63" s="243" t="s">
        <v>360</v>
      </c>
      <c r="E63" s="244">
        <v>75000</v>
      </c>
      <c r="F63" s="242" t="s">
        <v>296</v>
      </c>
    </row>
    <row r="64" spans="1:6" ht="45" x14ac:dyDescent="0.25">
      <c r="A64" s="443"/>
      <c r="B64" s="448"/>
      <c r="C64" s="242">
        <f t="shared" si="1"/>
        <v>33</v>
      </c>
      <c r="D64" s="243" t="s">
        <v>361</v>
      </c>
      <c r="E64" s="244">
        <v>53000</v>
      </c>
      <c r="F64" s="242" t="s">
        <v>296</v>
      </c>
    </row>
    <row r="65" spans="1:6" ht="45" x14ac:dyDescent="0.25">
      <c r="A65" s="443"/>
      <c r="B65" s="448"/>
      <c r="C65" s="242">
        <f t="shared" si="1"/>
        <v>34</v>
      </c>
      <c r="D65" s="243" t="s">
        <v>362</v>
      </c>
      <c r="E65" s="244">
        <v>5000</v>
      </c>
      <c r="F65" s="242" t="s">
        <v>296</v>
      </c>
    </row>
    <row r="66" spans="1:6" ht="75" x14ac:dyDescent="0.25">
      <c r="A66" s="443"/>
      <c r="B66" s="448"/>
      <c r="C66" s="242">
        <f t="shared" si="1"/>
        <v>35</v>
      </c>
      <c r="D66" s="243" t="s">
        <v>363</v>
      </c>
      <c r="E66" s="244">
        <v>5000</v>
      </c>
      <c r="F66" s="242" t="s">
        <v>296</v>
      </c>
    </row>
    <row r="67" spans="1:6" ht="30" x14ac:dyDescent="0.25">
      <c r="A67" s="443"/>
      <c r="B67" s="448"/>
      <c r="C67" s="242">
        <f t="shared" si="1"/>
        <v>36</v>
      </c>
      <c r="D67" s="243" t="s">
        <v>364</v>
      </c>
      <c r="E67" s="244">
        <v>10000</v>
      </c>
      <c r="F67" s="242" t="s">
        <v>296</v>
      </c>
    </row>
    <row r="68" spans="1:6" ht="45" x14ac:dyDescent="0.25">
      <c r="A68" s="443"/>
      <c r="B68" s="448"/>
      <c r="C68" s="242">
        <f t="shared" si="1"/>
        <v>37</v>
      </c>
      <c r="D68" s="243" t="s">
        <v>365</v>
      </c>
      <c r="E68" s="244">
        <v>22000</v>
      </c>
      <c r="F68" s="242" t="s">
        <v>296</v>
      </c>
    </row>
    <row r="69" spans="1:6" ht="30" x14ac:dyDescent="0.25">
      <c r="A69" s="443"/>
      <c r="B69" s="448"/>
      <c r="C69" s="242">
        <f t="shared" si="1"/>
        <v>38</v>
      </c>
      <c r="D69" s="243" t="s">
        <v>366</v>
      </c>
      <c r="E69" s="244">
        <v>22000</v>
      </c>
      <c r="F69" s="242" t="s">
        <v>296</v>
      </c>
    </row>
    <row r="70" spans="1:6" ht="45" x14ac:dyDescent="0.25">
      <c r="A70" s="443"/>
      <c r="B70" s="448"/>
      <c r="C70" s="242">
        <f t="shared" si="1"/>
        <v>39</v>
      </c>
      <c r="D70" s="243" t="s">
        <v>367</v>
      </c>
      <c r="E70" s="244">
        <v>44000</v>
      </c>
      <c r="F70" s="242" t="s">
        <v>296</v>
      </c>
    </row>
    <row r="71" spans="1:6" ht="30" x14ac:dyDescent="0.25">
      <c r="A71" s="443"/>
      <c r="B71" s="448"/>
      <c r="C71" s="242">
        <f t="shared" si="1"/>
        <v>40</v>
      </c>
      <c r="D71" s="243" t="s">
        <v>368</v>
      </c>
      <c r="E71" s="244">
        <v>7000</v>
      </c>
      <c r="F71" s="242" t="s">
        <v>296</v>
      </c>
    </row>
    <row r="72" spans="1:6" ht="45" x14ac:dyDescent="0.25">
      <c r="A72" s="443"/>
      <c r="B72" s="448"/>
      <c r="C72" s="242">
        <f t="shared" si="1"/>
        <v>41</v>
      </c>
      <c r="D72" s="243" t="s">
        <v>369</v>
      </c>
      <c r="E72" s="244">
        <v>30000</v>
      </c>
      <c r="F72" s="242" t="s">
        <v>296</v>
      </c>
    </row>
    <row r="73" spans="1:6" ht="45" x14ac:dyDescent="0.25">
      <c r="A73" s="443"/>
      <c r="B73" s="448"/>
      <c r="C73" s="242">
        <f t="shared" si="1"/>
        <v>42</v>
      </c>
      <c r="D73" s="243" t="s">
        <v>370</v>
      </c>
      <c r="E73" s="244">
        <v>4000</v>
      </c>
      <c r="F73" s="242" t="s">
        <v>296</v>
      </c>
    </row>
    <row r="74" spans="1:6" ht="30" x14ac:dyDescent="0.25">
      <c r="A74" s="444"/>
      <c r="B74" s="449"/>
      <c r="C74" s="242">
        <f t="shared" si="1"/>
        <v>43</v>
      </c>
      <c r="D74" s="243" t="s">
        <v>371</v>
      </c>
      <c r="E74" s="244">
        <v>2800</v>
      </c>
      <c r="F74" s="242" t="s">
        <v>296</v>
      </c>
    </row>
    <row r="75" spans="1:6" ht="60" x14ac:dyDescent="0.25">
      <c r="A75" s="442">
        <v>8</v>
      </c>
      <c r="B75" s="447" t="s">
        <v>372</v>
      </c>
      <c r="C75" s="242">
        <v>1</v>
      </c>
      <c r="D75" s="243" t="s">
        <v>373</v>
      </c>
      <c r="E75" s="244">
        <v>7808</v>
      </c>
      <c r="F75" s="242" t="s">
        <v>296</v>
      </c>
    </row>
    <row r="76" spans="1:6" ht="30" x14ac:dyDescent="0.25">
      <c r="A76" s="443"/>
      <c r="B76" s="448"/>
      <c r="C76" s="242">
        <f>C75+1</f>
        <v>2</v>
      </c>
      <c r="D76" s="243" t="s">
        <v>374</v>
      </c>
      <c r="E76" s="244">
        <v>80.2</v>
      </c>
      <c r="F76" s="242" t="s">
        <v>296</v>
      </c>
    </row>
    <row r="77" spans="1:6" ht="45" x14ac:dyDescent="0.25">
      <c r="A77" s="443"/>
      <c r="B77" s="448"/>
      <c r="C77" s="242">
        <f t="shared" ref="C77:C140" si="2">C76+1</f>
        <v>3</v>
      </c>
      <c r="D77" s="243" t="s">
        <v>375</v>
      </c>
      <c r="E77" s="244">
        <v>28846.959999999999</v>
      </c>
      <c r="F77" s="242" t="s">
        <v>296</v>
      </c>
    </row>
    <row r="78" spans="1:6" ht="30" x14ac:dyDescent="0.25">
      <c r="A78" s="443"/>
      <c r="B78" s="448"/>
      <c r="C78" s="242">
        <f t="shared" si="2"/>
        <v>4</v>
      </c>
      <c r="D78" s="243" t="s">
        <v>376</v>
      </c>
      <c r="E78" s="244">
        <v>1000</v>
      </c>
      <c r="F78" s="242" t="s">
        <v>296</v>
      </c>
    </row>
    <row r="79" spans="1:6" x14ac:dyDescent="0.25">
      <c r="A79" s="443"/>
      <c r="B79" s="448"/>
      <c r="C79" s="242">
        <f t="shared" si="2"/>
        <v>5</v>
      </c>
      <c r="D79" s="243" t="s">
        <v>377</v>
      </c>
      <c r="E79" s="244">
        <v>8835</v>
      </c>
      <c r="F79" s="242" t="s">
        <v>296</v>
      </c>
    </row>
    <row r="80" spans="1:6" ht="30" x14ac:dyDescent="0.25">
      <c r="A80" s="443"/>
      <c r="B80" s="448"/>
      <c r="C80" s="242">
        <f t="shared" si="2"/>
        <v>6</v>
      </c>
      <c r="D80" s="243" t="s">
        <v>378</v>
      </c>
      <c r="E80" s="244">
        <v>4500</v>
      </c>
      <c r="F80" s="242" t="s">
        <v>296</v>
      </c>
    </row>
    <row r="81" spans="1:6" ht="30" x14ac:dyDescent="0.25">
      <c r="A81" s="443"/>
      <c r="B81" s="448"/>
      <c r="C81" s="242">
        <f t="shared" si="2"/>
        <v>7</v>
      </c>
      <c r="D81" s="243" t="s">
        <v>379</v>
      </c>
      <c r="E81" s="244">
        <v>461.38</v>
      </c>
      <c r="F81" s="242" t="s">
        <v>296</v>
      </c>
    </row>
    <row r="82" spans="1:6" x14ac:dyDescent="0.25">
      <c r="A82" s="443"/>
      <c r="B82" s="448"/>
      <c r="C82" s="242">
        <f t="shared" si="2"/>
        <v>8</v>
      </c>
      <c r="D82" s="243" t="s">
        <v>380</v>
      </c>
      <c r="E82" s="244">
        <v>880</v>
      </c>
      <c r="F82" s="242" t="s">
        <v>296</v>
      </c>
    </row>
    <row r="83" spans="1:6" ht="30" x14ac:dyDescent="0.25">
      <c r="A83" s="443"/>
      <c r="B83" s="448"/>
      <c r="C83" s="242">
        <f t="shared" si="2"/>
        <v>9</v>
      </c>
      <c r="D83" s="243" t="s">
        <v>381</v>
      </c>
      <c r="E83" s="244">
        <v>176</v>
      </c>
      <c r="F83" s="242" t="s">
        <v>296</v>
      </c>
    </row>
    <row r="84" spans="1:6" x14ac:dyDescent="0.25">
      <c r="A84" s="443"/>
      <c r="B84" s="448"/>
      <c r="C84" s="242">
        <f t="shared" si="2"/>
        <v>10</v>
      </c>
      <c r="D84" s="243" t="s">
        <v>382</v>
      </c>
      <c r="E84" s="244">
        <v>3699.55</v>
      </c>
      <c r="F84" s="242" t="s">
        <v>296</v>
      </c>
    </row>
    <row r="85" spans="1:6" ht="30" x14ac:dyDescent="0.25">
      <c r="A85" s="443"/>
      <c r="B85" s="448"/>
      <c r="C85" s="242">
        <f t="shared" si="2"/>
        <v>11</v>
      </c>
      <c r="D85" s="243" t="s">
        <v>383</v>
      </c>
      <c r="E85" s="244">
        <v>44</v>
      </c>
      <c r="F85" s="242" t="s">
        <v>296</v>
      </c>
    </row>
    <row r="86" spans="1:6" ht="30" x14ac:dyDescent="0.25">
      <c r="A86" s="443"/>
      <c r="B86" s="448"/>
      <c r="C86" s="242">
        <f t="shared" si="2"/>
        <v>12</v>
      </c>
      <c r="D86" s="243" t="s">
        <v>384</v>
      </c>
      <c r="E86" s="244">
        <v>8.8000000000000007</v>
      </c>
      <c r="F86" s="242" t="s">
        <v>296</v>
      </c>
    </row>
    <row r="87" spans="1:6" ht="90" x14ac:dyDescent="0.25">
      <c r="A87" s="443"/>
      <c r="B87" s="448"/>
      <c r="C87" s="242">
        <f t="shared" si="2"/>
        <v>13</v>
      </c>
      <c r="D87" s="243" t="s">
        <v>385</v>
      </c>
      <c r="E87" s="244">
        <v>20301.900000000001</v>
      </c>
      <c r="F87" s="242" t="s">
        <v>296</v>
      </c>
    </row>
    <row r="88" spans="1:6" ht="75" x14ac:dyDescent="0.25">
      <c r="A88" s="443"/>
      <c r="B88" s="448"/>
      <c r="C88" s="242">
        <f t="shared" si="2"/>
        <v>14</v>
      </c>
      <c r="D88" s="243" t="s">
        <v>386</v>
      </c>
      <c r="E88" s="244">
        <v>35828.339999999997</v>
      </c>
      <c r="F88" s="242" t="s">
        <v>296</v>
      </c>
    </row>
    <row r="89" spans="1:6" ht="120" x14ac:dyDescent="0.25">
      <c r="A89" s="443"/>
      <c r="B89" s="448"/>
      <c r="C89" s="242">
        <f t="shared" si="2"/>
        <v>15</v>
      </c>
      <c r="D89" s="243" t="s">
        <v>387</v>
      </c>
      <c r="E89" s="244">
        <v>4325.13</v>
      </c>
      <c r="F89" s="242" t="s">
        <v>296</v>
      </c>
    </row>
    <row r="90" spans="1:6" x14ac:dyDescent="0.25">
      <c r="A90" s="443"/>
      <c r="B90" s="448"/>
      <c r="C90" s="242">
        <f t="shared" si="2"/>
        <v>16</v>
      </c>
      <c r="D90" s="243" t="s">
        <v>388</v>
      </c>
      <c r="E90" s="244">
        <v>44</v>
      </c>
      <c r="F90" s="242" t="s">
        <v>296</v>
      </c>
    </row>
    <row r="91" spans="1:6" ht="30" x14ac:dyDescent="0.25">
      <c r="A91" s="443"/>
      <c r="B91" s="448"/>
      <c r="C91" s="242">
        <f t="shared" si="2"/>
        <v>17</v>
      </c>
      <c r="D91" s="243" t="s">
        <v>389</v>
      </c>
      <c r="E91" s="244">
        <v>1009</v>
      </c>
      <c r="F91" s="242" t="s">
        <v>296</v>
      </c>
    </row>
    <row r="92" spans="1:6" ht="30" x14ac:dyDescent="0.25">
      <c r="A92" s="443"/>
      <c r="B92" s="448"/>
      <c r="C92" s="242">
        <f t="shared" si="2"/>
        <v>18</v>
      </c>
      <c r="D92" s="243" t="s">
        <v>390</v>
      </c>
      <c r="E92" s="244">
        <v>1593</v>
      </c>
      <c r="F92" s="242" t="s">
        <v>296</v>
      </c>
    </row>
    <row r="93" spans="1:6" ht="30" x14ac:dyDescent="0.25">
      <c r="A93" s="443"/>
      <c r="B93" s="448"/>
      <c r="C93" s="242">
        <f t="shared" si="2"/>
        <v>19</v>
      </c>
      <c r="D93" s="243" t="s">
        <v>391</v>
      </c>
      <c r="E93" s="244">
        <v>1316.88</v>
      </c>
      <c r="F93" s="242" t="s">
        <v>296</v>
      </c>
    </row>
    <row r="94" spans="1:6" x14ac:dyDescent="0.25">
      <c r="A94" s="443"/>
      <c r="B94" s="448"/>
      <c r="C94" s="242">
        <f t="shared" si="2"/>
        <v>20</v>
      </c>
      <c r="D94" s="243" t="s">
        <v>392</v>
      </c>
      <c r="E94" s="244">
        <v>1132.8</v>
      </c>
      <c r="F94" s="242" t="s">
        <v>296</v>
      </c>
    </row>
    <row r="95" spans="1:6" x14ac:dyDescent="0.25">
      <c r="A95" s="443"/>
      <c r="B95" s="448"/>
      <c r="C95" s="242">
        <f t="shared" si="2"/>
        <v>21</v>
      </c>
      <c r="D95" s="243" t="s">
        <v>393</v>
      </c>
      <c r="E95" s="244">
        <v>1372.34</v>
      </c>
      <c r="F95" s="242" t="s">
        <v>296</v>
      </c>
    </row>
    <row r="96" spans="1:6" x14ac:dyDescent="0.25">
      <c r="A96" s="443"/>
      <c r="B96" s="448"/>
      <c r="C96" s="242">
        <f t="shared" si="2"/>
        <v>22</v>
      </c>
      <c r="D96" s="243" t="s">
        <v>394</v>
      </c>
      <c r="E96" s="244">
        <v>1659.08</v>
      </c>
      <c r="F96" s="242" t="s">
        <v>296</v>
      </c>
    </row>
    <row r="97" spans="1:6" x14ac:dyDescent="0.25">
      <c r="A97" s="443"/>
      <c r="B97" s="448"/>
      <c r="C97" s="242">
        <f t="shared" si="2"/>
        <v>23</v>
      </c>
      <c r="D97" s="243" t="s">
        <v>395</v>
      </c>
      <c r="E97" s="244">
        <v>8055.9</v>
      </c>
      <c r="F97" s="242" t="s">
        <v>296</v>
      </c>
    </row>
    <row r="98" spans="1:6" ht="30" x14ac:dyDescent="0.25">
      <c r="A98" s="443"/>
      <c r="B98" s="448"/>
      <c r="C98" s="242">
        <f t="shared" si="2"/>
        <v>24</v>
      </c>
      <c r="D98" s="243" t="s">
        <v>396</v>
      </c>
      <c r="E98" s="244">
        <v>1781.8</v>
      </c>
      <c r="F98" s="242" t="s">
        <v>296</v>
      </c>
    </row>
    <row r="99" spans="1:6" ht="30" x14ac:dyDescent="0.25">
      <c r="A99" s="443"/>
      <c r="B99" s="448"/>
      <c r="C99" s="242">
        <f t="shared" si="2"/>
        <v>25</v>
      </c>
      <c r="D99" s="243" t="s">
        <v>397</v>
      </c>
      <c r="E99" s="244">
        <v>10395.799999999999</v>
      </c>
      <c r="F99" s="242" t="s">
        <v>296</v>
      </c>
    </row>
    <row r="100" spans="1:6" x14ac:dyDescent="0.25">
      <c r="A100" s="443"/>
      <c r="B100" s="448"/>
      <c r="C100" s="242">
        <f t="shared" si="2"/>
        <v>26</v>
      </c>
      <c r="D100" s="243" t="s">
        <v>398</v>
      </c>
      <c r="E100" s="244">
        <v>6355.48</v>
      </c>
      <c r="F100" s="242" t="s">
        <v>296</v>
      </c>
    </row>
    <row r="101" spans="1:6" x14ac:dyDescent="0.25">
      <c r="A101" s="443"/>
      <c r="B101" s="448"/>
      <c r="C101" s="242">
        <f t="shared" si="2"/>
        <v>27</v>
      </c>
      <c r="D101" s="243" t="s">
        <v>399</v>
      </c>
      <c r="E101" s="244">
        <v>907585</v>
      </c>
      <c r="F101" s="242" t="s">
        <v>296</v>
      </c>
    </row>
    <row r="102" spans="1:6" ht="30" x14ac:dyDescent="0.25">
      <c r="A102" s="443"/>
      <c r="B102" s="448"/>
      <c r="C102" s="242">
        <f t="shared" si="2"/>
        <v>28</v>
      </c>
      <c r="D102" s="243" t="s">
        <v>400</v>
      </c>
      <c r="E102" s="244">
        <v>18880</v>
      </c>
      <c r="F102" s="242" t="s">
        <v>296</v>
      </c>
    </row>
    <row r="103" spans="1:6" ht="45" x14ac:dyDescent="0.25">
      <c r="A103" s="443"/>
      <c r="B103" s="448"/>
      <c r="C103" s="242">
        <f t="shared" si="2"/>
        <v>29</v>
      </c>
      <c r="D103" s="243" t="s">
        <v>401</v>
      </c>
      <c r="E103" s="244">
        <v>880</v>
      </c>
      <c r="F103" s="242" t="s">
        <v>296</v>
      </c>
    </row>
    <row r="104" spans="1:6" ht="30" x14ac:dyDescent="0.25">
      <c r="A104" s="443"/>
      <c r="B104" s="448"/>
      <c r="C104" s="242">
        <f t="shared" si="2"/>
        <v>30</v>
      </c>
      <c r="D104" s="243" t="s">
        <v>402</v>
      </c>
      <c r="E104" s="244">
        <v>725.7</v>
      </c>
      <c r="F104" s="242" t="s">
        <v>296</v>
      </c>
    </row>
    <row r="105" spans="1:6" ht="30" x14ac:dyDescent="0.25">
      <c r="A105" s="443"/>
      <c r="B105" s="448"/>
      <c r="C105" s="242">
        <f t="shared" si="2"/>
        <v>31</v>
      </c>
      <c r="D105" s="243" t="s">
        <v>403</v>
      </c>
      <c r="E105" s="244">
        <v>417.72</v>
      </c>
      <c r="F105" s="242" t="s">
        <v>296</v>
      </c>
    </row>
    <row r="106" spans="1:6" ht="30" x14ac:dyDescent="0.25">
      <c r="A106" s="443"/>
      <c r="B106" s="448"/>
      <c r="C106" s="242">
        <f t="shared" si="2"/>
        <v>32</v>
      </c>
      <c r="D106" s="243" t="s">
        <v>404</v>
      </c>
      <c r="E106" s="244">
        <v>1260.24</v>
      </c>
      <c r="F106" s="242" t="s">
        <v>296</v>
      </c>
    </row>
    <row r="107" spans="1:6" ht="30" x14ac:dyDescent="0.25">
      <c r="A107" s="443"/>
      <c r="B107" s="448"/>
      <c r="C107" s="242">
        <f t="shared" si="2"/>
        <v>33</v>
      </c>
      <c r="D107" s="243" t="s">
        <v>405</v>
      </c>
      <c r="E107" s="244">
        <v>870.84</v>
      </c>
      <c r="F107" s="242" t="s">
        <v>296</v>
      </c>
    </row>
    <row r="108" spans="1:6" x14ac:dyDescent="0.25">
      <c r="A108" s="443"/>
      <c r="B108" s="448"/>
      <c r="C108" s="242">
        <f t="shared" si="2"/>
        <v>34</v>
      </c>
      <c r="D108" s="456" t="s">
        <v>406</v>
      </c>
      <c r="E108" s="457">
        <v>923.94</v>
      </c>
      <c r="F108" s="242" t="s">
        <v>296</v>
      </c>
    </row>
    <row r="109" spans="1:6" x14ac:dyDescent="0.25">
      <c r="A109" s="443"/>
      <c r="B109" s="448"/>
      <c r="C109" s="242">
        <f t="shared" si="2"/>
        <v>35</v>
      </c>
      <c r="D109" s="456"/>
      <c r="E109" s="457"/>
      <c r="F109" s="242" t="s">
        <v>296</v>
      </c>
    </row>
    <row r="110" spans="1:6" ht="30" x14ac:dyDescent="0.25">
      <c r="A110" s="443"/>
      <c r="B110" s="448"/>
      <c r="C110" s="242">
        <f t="shared" si="2"/>
        <v>36</v>
      </c>
      <c r="D110" s="243" t="s">
        <v>407</v>
      </c>
      <c r="E110" s="244">
        <v>2749.4</v>
      </c>
      <c r="F110" s="242" t="s">
        <v>296</v>
      </c>
    </row>
    <row r="111" spans="1:6" x14ac:dyDescent="0.25">
      <c r="A111" s="443"/>
      <c r="B111" s="448"/>
      <c r="C111" s="242">
        <f t="shared" si="2"/>
        <v>37</v>
      </c>
      <c r="D111" s="243" t="s">
        <v>408</v>
      </c>
      <c r="E111" s="244">
        <v>2875.66</v>
      </c>
      <c r="F111" s="242" t="s">
        <v>296</v>
      </c>
    </row>
    <row r="112" spans="1:6" ht="30" x14ac:dyDescent="0.25">
      <c r="A112" s="443"/>
      <c r="B112" s="448"/>
      <c r="C112" s="242">
        <f t="shared" si="2"/>
        <v>38</v>
      </c>
      <c r="D112" s="243" t="s">
        <v>409</v>
      </c>
      <c r="E112" s="244">
        <v>2306.9</v>
      </c>
      <c r="F112" s="242" t="s">
        <v>296</v>
      </c>
    </row>
    <row r="113" spans="1:6" x14ac:dyDescent="0.25">
      <c r="A113" s="443"/>
      <c r="B113" s="448"/>
      <c r="C113" s="242">
        <f t="shared" si="2"/>
        <v>39</v>
      </c>
      <c r="D113" s="243" t="s">
        <v>410</v>
      </c>
      <c r="E113" s="244">
        <v>247.8</v>
      </c>
      <c r="F113" s="242" t="s">
        <v>296</v>
      </c>
    </row>
    <row r="114" spans="1:6" x14ac:dyDescent="0.25">
      <c r="A114" s="443"/>
      <c r="B114" s="448"/>
      <c r="C114" s="242">
        <f t="shared" si="2"/>
        <v>40</v>
      </c>
      <c r="D114" s="243" t="s">
        <v>411</v>
      </c>
      <c r="E114" s="244">
        <v>383.5</v>
      </c>
      <c r="F114" s="242" t="s">
        <v>296</v>
      </c>
    </row>
    <row r="115" spans="1:6" x14ac:dyDescent="0.25">
      <c r="A115" s="443"/>
      <c r="B115" s="448"/>
      <c r="C115" s="242">
        <f t="shared" si="2"/>
        <v>41</v>
      </c>
      <c r="D115" s="243" t="s">
        <v>412</v>
      </c>
      <c r="E115" s="244">
        <v>699.54</v>
      </c>
      <c r="F115" s="242" t="s">
        <v>296</v>
      </c>
    </row>
    <row r="116" spans="1:6" x14ac:dyDescent="0.25">
      <c r="A116" s="443"/>
      <c r="B116" s="448"/>
      <c r="C116" s="242">
        <f t="shared" si="2"/>
        <v>42</v>
      </c>
      <c r="D116" s="243" t="s">
        <v>413</v>
      </c>
      <c r="E116" s="244">
        <v>330.4</v>
      </c>
      <c r="F116" s="242" t="s">
        <v>296</v>
      </c>
    </row>
    <row r="117" spans="1:6" x14ac:dyDescent="0.25">
      <c r="A117" s="443"/>
      <c r="B117" s="448"/>
      <c r="C117" s="242">
        <f t="shared" si="2"/>
        <v>43</v>
      </c>
      <c r="D117" s="243" t="s">
        <v>414</v>
      </c>
      <c r="E117" s="244">
        <v>383.5</v>
      </c>
      <c r="F117" s="242" t="s">
        <v>296</v>
      </c>
    </row>
    <row r="118" spans="1:6" x14ac:dyDescent="0.25">
      <c r="A118" s="443"/>
      <c r="B118" s="448"/>
      <c r="C118" s="242">
        <f t="shared" si="2"/>
        <v>44</v>
      </c>
      <c r="D118" s="243" t="s">
        <v>415</v>
      </c>
      <c r="E118" s="244">
        <v>3699.55</v>
      </c>
      <c r="F118" s="242" t="s">
        <v>296</v>
      </c>
    </row>
    <row r="119" spans="1:6" ht="30" x14ac:dyDescent="0.25">
      <c r="A119" s="443"/>
      <c r="B119" s="448"/>
      <c r="C119" s="242">
        <f t="shared" si="2"/>
        <v>45</v>
      </c>
      <c r="D119" s="243" t="s">
        <v>416</v>
      </c>
      <c r="E119" s="244">
        <v>182.9</v>
      </c>
      <c r="F119" s="242" t="s">
        <v>296</v>
      </c>
    </row>
    <row r="120" spans="1:6" ht="30" x14ac:dyDescent="0.25">
      <c r="A120" s="443"/>
      <c r="B120" s="448"/>
      <c r="C120" s="242">
        <f t="shared" si="2"/>
        <v>46</v>
      </c>
      <c r="D120" s="243" t="s">
        <v>417</v>
      </c>
      <c r="E120" s="244">
        <v>1655.54</v>
      </c>
      <c r="F120" s="242" t="s">
        <v>296</v>
      </c>
    </row>
    <row r="121" spans="1:6" ht="30" x14ac:dyDescent="0.25">
      <c r="A121" s="443"/>
      <c r="B121" s="448"/>
      <c r="C121" s="242">
        <f t="shared" si="2"/>
        <v>47</v>
      </c>
      <c r="D121" s="243" t="s">
        <v>418</v>
      </c>
      <c r="E121" s="244">
        <v>5664</v>
      </c>
      <c r="F121" s="242" t="s">
        <v>296</v>
      </c>
    </row>
    <row r="122" spans="1:6" x14ac:dyDescent="0.25">
      <c r="A122" s="443"/>
      <c r="B122" s="448"/>
      <c r="C122" s="242">
        <f t="shared" si="2"/>
        <v>48</v>
      </c>
      <c r="D122" s="243" t="s">
        <v>419</v>
      </c>
      <c r="E122" s="244">
        <v>4248</v>
      </c>
      <c r="F122" s="242" t="s">
        <v>296</v>
      </c>
    </row>
    <row r="123" spans="1:6" x14ac:dyDescent="0.25">
      <c r="A123" s="443"/>
      <c r="B123" s="448"/>
      <c r="C123" s="242">
        <f t="shared" si="2"/>
        <v>49</v>
      </c>
      <c r="D123" s="243" t="s">
        <v>420</v>
      </c>
      <c r="E123" s="244">
        <v>886.54</v>
      </c>
      <c r="F123" s="242" t="s">
        <v>296</v>
      </c>
    </row>
    <row r="124" spans="1:6" ht="30" x14ac:dyDescent="0.25">
      <c r="A124" s="443"/>
      <c r="B124" s="448"/>
      <c r="C124" s="242">
        <f t="shared" si="2"/>
        <v>50</v>
      </c>
      <c r="D124" s="243" t="s">
        <v>421</v>
      </c>
      <c r="E124" s="244">
        <v>1268.5</v>
      </c>
      <c r="F124" s="242" t="s">
        <v>296</v>
      </c>
    </row>
    <row r="125" spans="1:6" ht="30" x14ac:dyDescent="0.25">
      <c r="A125" s="443"/>
      <c r="B125" s="448"/>
      <c r="C125" s="242">
        <f t="shared" si="2"/>
        <v>51</v>
      </c>
      <c r="D125" s="245" t="s">
        <v>422</v>
      </c>
      <c r="E125" s="246">
        <v>348.1</v>
      </c>
      <c r="F125" s="242" t="s">
        <v>296</v>
      </c>
    </row>
    <row r="126" spans="1:6" ht="30" x14ac:dyDescent="0.25">
      <c r="A126" s="443"/>
      <c r="B126" s="448"/>
      <c r="C126" s="242">
        <f t="shared" si="2"/>
        <v>52</v>
      </c>
      <c r="D126" s="243" t="s">
        <v>423</v>
      </c>
      <c r="E126" s="244">
        <v>826</v>
      </c>
      <c r="F126" s="242" t="s">
        <v>296</v>
      </c>
    </row>
    <row r="127" spans="1:6" ht="30" x14ac:dyDescent="0.25">
      <c r="A127" s="443"/>
      <c r="B127" s="448"/>
      <c r="C127" s="242">
        <f t="shared" si="2"/>
        <v>53</v>
      </c>
      <c r="D127" s="243" t="s">
        <v>424</v>
      </c>
      <c r="E127" s="244">
        <v>351.64</v>
      </c>
      <c r="F127" s="242" t="s">
        <v>296</v>
      </c>
    </row>
    <row r="128" spans="1:6" x14ac:dyDescent="0.25">
      <c r="A128" s="443"/>
      <c r="B128" s="448"/>
      <c r="C128" s="242">
        <f t="shared" si="2"/>
        <v>54</v>
      </c>
      <c r="D128" s="243" t="s">
        <v>425</v>
      </c>
      <c r="E128" s="244">
        <v>182.9</v>
      </c>
      <c r="F128" s="242" t="s">
        <v>296</v>
      </c>
    </row>
    <row r="129" spans="1:6" ht="30" x14ac:dyDescent="0.25">
      <c r="A129" s="443"/>
      <c r="B129" s="448"/>
      <c r="C129" s="242">
        <f t="shared" si="2"/>
        <v>55</v>
      </c>
      <c r="D129" s="243" t="s">
        <v>426</v>
      </c>
      <c r="E129" s="244">
        <v>562.54</v>
      </c>
      <c r="F129" s="242" t="s">
        <v>296</v>
      </c>
    </row>
    <row r="130" spans="1:6" x14ac:dyDescent="0.25">
      <c r="A130" s="443"/>
      <c r="B130" s="448"/>
      <c r="C130" s="242">
        <f t="shared" si="2"/>
        <v>56</v>
      </c>
      <c r="D130" s="243" t="s">
        <v>427</v>
      </c>
      <c r="E130" s="244">
        <v>3080.54</v>
      </c>
      <c r="F130" s="242" t="s">
        <v>296</v>
      </c>
    </row>
    <row r="131" spans="1:6" x14ac:dyDescent="0.25">
      <c r="A131" s="443"/>
      <c r="B131" s="448"/>
      <c r="C131" s="242">
        <f t="shared" si="2"/>
        <v>57</v>
      </c>
      <c r="D131" s="243" t="s">
        <v>428</v>
      </c>
      <c r="E131" s="244">
        <v>1687.4</v>
      </c>
      <c r="F131" s="242" t="s">
        <v>296</v>
      </c>
    </row>
    <row r="132" spans="1:6" x14ac:dyDescent="0.25">
      <c r="A132" s="443"/>
      <c r="B132" s="448"/>
      <c r="C132" s="242">
        <f t="shared" si="2"/>
        <v>58</v>
      </c>
      <c r="D132" s="243" t="s">
        <v>429</v>
      </c>
      <c r="E132" s="244">
        <v>1416</v>
      </c>
      <c r="F132" s="242" t="s">
        <v>296</v>
      </c>
    </row>
    <row r="133" spans="1:6" x14ac:dyDescent="0.25">
      <c r="A133" s="443"/>
      <c r="B133" s="448"/>
      <c r="C133" s="242">
        <f t="shared" si="2"/>
        <v>59</v>
      </c>
      <c r="D133" s="243" t="s">
        <v>430</v>
      </c>
      <c r="E133" s="244">
        <v>2832</v>
      </c>
      <c r="F133" s="242" t="s">
        <v>296</v>
      </c>
    </row>
    <row r="134" spans="1:6" ht="30" x14ac:dyDescent="0.25">
      <c r="A134" s="443"/>
      <c r="B134" s="448"/>
      <c r="C134" s="242">
        <f t="shared" si="2"/>
        <v>60</v>
      </c>
      <c r="D134" s="243" t="s">
        <v>431</v>
      </c>
      <c r="E134" s="244">
        <v>3163.58</v>
      </c>
      <c r="F134" s="242" t="s">
        <v>296</v>
      </c>
    </row>
    <row r="135" spans="1:6" ht="30" x14ac:dyDescent="0.25">
      <c r="A135" s="443"/>
      <c r="B135" s="448"/>
      <c r="C135" s="242">
        <f t="shared" si="2"/>
        <v>61</v>
      </c>
      <c r="D135" s="243" t="s">
        <v>432</v>
      </c>
      <c r="E135" s="244">
        <v>840.16</v>
      </c>
      <c r="F135" s="242" t="s">
        <v>296</v>
      </c>
    </row>
    <row r="136" spans="1:6" ht="30" x14ac:dyDescent="0.25">
      <c r="A136" s="443"/>
      <c r="B136" s="448"/>
      <c r="C136" s="242">
        <f t="shared" si="2"/>
        <v>62</v>
      </c>
      <c r="D136" s="243" t="s">
        <v>433</v>
      </c>
      <c r="E136" s="244">
        <v>76.7</v>
      </c>
      <c r="F136" s="242" t="s">
        <v>296</v>
      </c>
    </row>
    <row r="137" spans="1:6" ht="30" x14ac:dyDescent="0.25">
      <c r="A137" s="443"/>
      <c r="B137" s="448"/>
      <c r="C137" s="242">
        <f t="shared" si="2"/>
        <v>63</v>
      </c>
      <c r="D137" s="243" t="s">
        <v>434</v>
      </c>
      <c r="E137" s="244">
        <v>115.99</v>
      </c>
      <c r="F137" s="242" t="s">
        <v>296</v>
      </c>
    </row>
    <row r="138" spans="1:6" x14ac:dyDescent="0.25">
      <c r="A138" s="443"/>
      <c r="B138" s="448"/>
      <c r="C138" s="242">
        <f t="shared" si="2"/>
        <v>64</v>
      </c>
      <c r="D138" s="243" t="s">
        <v>435</v>
      </c>
      <c r="E138" s="244">
        <v>70.8</v>
      </c>
      <c r="F138" s="242" t="s">
        <v>296</v>
      </c>
    </row>
    <row r="139" spans="1:6" ht="30" x14ac:dyDescent="0.25">
      <c r="A139" s="443"/>
      <c r="B139" s="448"/>
      <c r="C139" s="242">
        <f t="shared" si="2"/>
        <v>65</v>
      </c>
      <c r="D139" s="243" t="s">
        <v>436</v>
      </c>
      <c r="E139" s="244">
        <v>1.1000000000000001</v>
      </c>
      <c r="F139" s="242" t="s">
        <v>296</v>
      </c>
    </row>
    <row r="140" spans="1:6" x14ac:dyDescent="0.25">
      <c r="A140" s="443"/>
      <c r="B140" s="448"/>
      <c r="C140" s="242">
        <f t="shared" si="2"/>
        <v>66</v>
      </c>
      <c r="D140" s="243" t="s">
        <v>437</v>
      </c>
      <c r="E140" s="244">
        <v>880</v>
      </c>
      <c r="F140" s="242" t="s">
        <v>296</v>
      </c>
    </row>
    <row r="141" spans="1:6" ht="30" x14ac:dyDescent="0.25">
      <c r="A141" s="443"/>
      <c r="B141" s="448"/>
      <c r="C141" s="242">
        <f t="shared" ref="C141:C172" si="3">C140+1</f>
        <v>67</v>
      </c>
      <c r="D141" s="243" t="s">
        <v>438</v>
      </c>
      <c r="E141" s="244">
        <v>8035.8</v>
      </c>
      <c r="F141" s="242" t="s">
        <v>296</v>
      </c>
    </row>
    <row r="142" spans="1:6" ht="30" x14ac:dyDescent="0.25">
      <c r="A142" s="443"/>
      <c r="B142" s="448"/>
      <c r="C142" s="242">
        <f t="shared" si="3"/>
        <v>68</v>
      </c>
      <c r="D142" s="243" t="s">
        <v>439</v>
      </c>
      <c r="E142" s="244">
        <v>7445.8</v>
      </c>
      <c r="F142" s="242" t="s">
        <v>296</v>
      </c>
    </row>
    <row r="143" spans="1:6" ht="30" x14ac:dyDescent="0.25">
      <c r="A143" s="443"/>
      <c r="B143" s="448"/>
      <c r="C143" s="242">
        <f t="shared" si="3"/>
        <v>69</v>
      </c>
      <c r="D143" s="243" t="s">
        <v>440</v>
      </c>
      <c r="E143" s="244">
        <v>97845</v>
      </c>
      <c r="F143" s="242" t="s">
        <v>296</v>
      </c>
    </row>
    <row r="144" spans="1:6" ht="30" x14ac:dyDescent="0.25">
      <c r="A144" s="443"/>
      <c r="B144" s="448"/>
      <c r="C144" s="242">
        <f t="shared" si="3"/>
        <v>70</v>
      </c>
      <c r="D144" s="243" t="s">
        <v>441</v>
      </c>
      <c r="E144" s="244">
        <v>453120</v>
      </c>
      <c r="F144" s="242" t="s">
        <v>296</v>
      </c>
    </row>
    <row r="145" spans="1:6" ht="30" x14ac:dyDescent="0.25">
      <c r="A145" s="443"/>
      <c r="B145" s="448"/>
      <c r="C145" s="242">
        <f t="shared" si="3"/>
        <v>71</v>
      </c>
      <c r="D145" s="243" t="s">
        <v>442</v>
      </c>
      <c r="E145" s="244">
        <v>97845.6</v>
      </c>
      <c r="F145" s="242" t="s">
        <v>296</v>
      </c>
    </row>
    <row r="146" spans="1:6" x14ac:dyDescent="0.25">
      <c r="A146" s="443"/>
      <c r="B146" s="448"/>
      <c r="C146" s="242">
        <f t="shared" si="3"/>
        <v>72</v>
      </c>
      <c r="D146" s="243" t="s">
        <v>443</v>
      </c>
      <c r="E146" s="244">
        <v>741.04</v>
      </c>
      <c r="F146" s="242" t="s">
        <v>296</v>
      </c>
    </row>
    <row r="147" spans="1:6" ht="45" x14ac:dyDescent="0.25">
      <c r="A147" s="443"/>
      <c r="B147" s="448"/>
      <c r="C147" s="242">
        <f t="shared" si="3"/>
        <v>73</v>
      </c>
      <c r="D147" s="243" t="s">
        <v>444</v>
      </c>
      <c r="E147" s="244">
        <v>257146</v>
      </c>
      <c r="F147" s="242" t="s">
        <v>296</v>
      </c>
    </row>
    <row r="148" spans="1:6" ht="30" x14ac:dyDescent="0.25">
      <c r="A148" s="443"/>
      <c r="B148" s="448"/>
      <c r="C148" s="242">
        <f t="shared" si="3"/>
        <v>74</v>
      </c>
      <c r="D148" s="243" t="s">
        <v>445</v>
      </c>
      <c r="E148" s="244">
        <v>1157.58</v>
      </c>
      <c r="F148" s="242" t="s">
        <v>296</v>
      </c>
    </row>
    <row r="149" spans="1:6" ht="30" x14ac:dyDescent="0.25">
      <c r="A149" s="443"/>
      <c r="B149" s="448"/>
      <c r="C149" s="242">
        <f t="shared" si="3"/>
        <v>75</v>
      </c>
      <c r="D149" s="243" t="s">
        <v>446</v>
      </c>
      <c r="E149" s="244">
        <v>15487.6</v>
      </c>
      <c r="F149" s="242" t="s">
        <v>296</v>
      </c>
    </row>
    <row r="150" spans="1:6" ht="60" x14ac:dyDescent="0.25">
      <c r="A150" s="443"/>
      <c r="B150" s="448"/>
      <c r="C150" s="242">
        <f t="shared" si="3"/>
        <v>76</v>
      </c>
      <c r="D150" s="243" t="s">
        <v>447</v>
      </c>
      <c r="E150" s="244">
        <v>347753</v>
      </c>
      <c r="F150" s="242" t="s">
        <v>296</v>
      </c>
    </row>
    <row r="151" spans="1:6" ht="30" x14ac:dyDescent="0.25">
      <c r="A151" s="443"/>
      <c r="B151" s="448"/>
      <c r="C151" s="242">
        <f t="shared" si="3"/>
        <v>77</v>
      </c>
      <c r="D151" s="243" t="s">
        <v>448</v>
      </c>
      <c r="E151" s="244">
        <v>17.600000000000001</v>
      </c>
      <c r="F151" s="242" t="s">
        <v>296</v>
      </c>
    </row>
    <row r="152" spans="1:6" x14ac:dyDescent="0.25">
      <c r="A152" s="443"/>
      <c r="B152" s="448"/>
      <c r="C152" s="242">
        <f t="shared" si="3"/>
        <v>78</v>
      </c>
      <c r="D152" s="243" t="s">
        <v>449</v>
      </c>
      <c r="E152" s="244">
        <v>2832</v>
      </c>
      <c r="F152" s="242" t="s">
        <v>296</v>
      </c>
    </row>
    <row r="153" spans="1:6" x14ac:dyDescent="0.25">
      <c r="A153" s="443"/>
      <c r="B153" s="448"/>
      <c r="C153" s="242">
        <f t="shared" si="3"/>
        <v>79</v>
      </c>
      <c r="D153" s="243" t="s">
        <v>450</v>
      </c>
      <c r="E153" s="244">
        <v>1299.18</v>
      </c>
      <c r="F153" s="242" t="s">
        <v>296</v>
      </c>
    </row>
    <row r="154" spans="1:6" ht="30" x14ac:dyDescent="0.25">
      <c r="A154" s="443"/>
      <c r="B154" s="448"/>
      <c r="C154" s="242">
        <f t="shared" si="3"/>
        <v>80</v>
      </c>
      <c r="D154" s="243" t="s">
        <v>451</v>
      </c>
      <c r="E154" s="244">
        <v>88</v>
      </c>
      <c r="F154" s="242" t="s">
        <v>296</v>
      </c>
    </row>
    <row r="155" spans="1:6" ht="30" x14ac:dyDescent="0.25">
      <c r="A155" s="443"/>
      <c r="B155" s="448"/>
      <c r="C155" s="242">
        <f t="shared" si="3"/>
        <v>81</v>
      </c>
      <c r="D155" s="243" t="s">
        <v>452</v>
      </c>
      <c r="E155" s="244">
        <v>44</v>
      </c>
      <c r="F155" s="242" t="s">
        <v>296</v>
      </c>
    </row>
    <row r="156" spans="1:6" ht="30" x14ac:dyDescent="0.25">
      <c r="A156" s="443"/>
      <c r="B156" s="448"/>
      <c r="C156" s="242">
        <f t="shared" si="3"/>
        <v>82</v>
      </c>
      <c r="D156" s="243" t="s">
        <v>453</v>
      </c>
      <c r="E156" s="244">
        <v>6.4</v>
      </c>
      <c r="F156" s="242" t="s">
        <v>296</v>
      </c>
    </row>
    <row r="157" spans="1:6" ht="30" x14ac:dyDescent="0.25">
      <c r="A157" s="443"/>
      <c r="B157" s="448"/>
      <c r="C157" s="242">
        <f t="shared" si="3"/>
        <v>83</v>
      </c>
      <c r="D157" s="243" t="s">
        <v>454</v>
      </c>
      <c r="E157" s="244">
        <v>885</v>
      </c>
      <c r="F157" s="242" t="s">
        <v>296</v>
      </c>
    </row>
    <row r="158" spans="1:6" ht="30" x14ac:dyDescent="0.25">
      <c r="A158" s="443"/>
      <c r="B158" s="448"/>
      <c r="C158" s="242">
        <f t="shared" si="3"/>
        <v>84</v>
      </c>
      <c r="D158" s="243" t="s">
        <v>455</v>
      </c>
      <c r="E158" s="244">
        <v>44</v>
      </c>
      <c r="F158" s="242" t="s">
        <v>296</v>
      </c>
    </row>
    <row r="159" spans="1:6" ht="30" x14ac:dyDescent="0.25">
      <c r="A159" s="443"/>
      <c r="B159" s="448"/>
      <c r="C159" s="242">
        <f t="shared" si="3"/>
        <v>85</v>
      </c>
      <c r="D159" s="243" t="s">
        <v>456</v>
      </c>
      <c r="E159" s="244">
        <v>2537</v>
      </c>
      <c r="F159" s="242" t="s">
        <v>296</v>
      </c>
    </row>
    <row r="160" spans="1:6" ht="30" x14ac:dyDescent="0.25">
      <c r="A160" s="443"/>
      <c r="B160" s="448"/>
      <c r="C160" s="242">
        <f t="shared" si="3"/>
        <v>86</v>
      </c>
      <c r="D160" s="243" t="s">
        <v>457</v>
      </c>
      <c r="E160" s="244">
        <v>175.99</v>
      </c>
      <c r="F160" s="242" t="s">
        <v>296</v>
      </c>
    </row>
    <row r="161" spans="1:6" ht="30" x14ac:dyDescent="0.25">
      <c r="A161" s="443"/>
      <c r="B161" s="448"/>
      <c r="C161" s="242">
        <f t="shared" si="3"/>
        <v>87</v>
      </c>
      <c r="D161" s="243" t="s">
        <v>458</v>
      </c>
      <c r="E161" s="244">
        <v>177</v>
      </c>
      <c r="F161" s="242" t="s">
        <v>296</v>
      </c>
    </row>
    <row r="162" spans="1:6" x14ac:dyDescent="0.25">
      <c r="A162" s="443"/>
      <c r="B162" s="448"/>
      <c r="C162" s="242">
        <f t="shared" si="3"/>
        <v>88</v>
      </c>
      <c r="D162" s="243" t="s">
        <v>459</v>
      </c>
      <c r="E162" s="244">
        <v>2.8</v>
      </c>
      <c r="F162" s="242" t="s">
        <v>296</v>
      </c>
    </row>
    <row r="163" spans="1:6" ht="30" x14ac:dyDescent="0.25">
      <c r="A163" s="443"/>
      <c r="B163" s="448"/>
      <c r="C163" s="242">
        <f t="shared" si="3"/>
        <v>89</v>
      </c>
      <c r="D163" s="243" t="s">
        <v>460</v>
      </c>
      <c r="E163" s="244">
        <v>44</v>
      </c>
      <c r="F163" s="242" t="s">
        <v>296</v>
      </c>
    </row>
    <row r="164" spans="1:6" ht="30" x14ac:dyDescent="0.25">
      <c r="A164" s="443"/>
      <c r="B164" s="448"/>
      <c r="C164" s="242">
        <f t="shared" si="3"/>
        <v>90</v>
      </c>
      <c r="D164" s="243" t="s">
        <v>461</v>
      </c>
      <c r="E164" s="244">
        <v>122.74</v>
      </c>
      <c r="F164" s="242" t="s">
        <v>296</v>
      </c>
    </row>
    <row r="165" spans="1:6" ht="30" x14ac:dyDescent="0.25">
      <c r="A165" s="443"/>
      <c r="B165" s="448"/>
      <c r="C165" s="242">
        <f t="shared" si="3"/>
        <v>91</v>
      </c>
      <c r="D165" s="243" t="s">
        <v>462</v>
      </c>
      <c r="E165" s="244">
        <v>1239</v>
      </c>
      <c r="F165" s="242" t="s">
        <v>296</v>
      </c>
    </row>
    <row r="166" spans="1:6" ht="30" x14ac:dyDescent="0.25">
      <c r="A166" s="444"/>
      <c r="B166" s="449"/>
      <c r="C166" s="242">
        <f t="shared" si="3"/>
        <v>92</v>
      </c>
      <c r="D166" s="243" t="s">
        <v>463</v>
      </c>
      <c r="E166" s="244">
        <v>601.79999999999995</v>
      </c>
      <c r="F166" s="242" t="s">
        <v>296</v>
      </c>
    </row>
    <row r="167" spans="1:6" ht="45" x14ac:dyDescent="0.25">
      <c r="A167" s="450">
        <v>9</v>
      </c>
      <c r="B167" s="453" t="s">
        <v>464</v>
      </c>
      <c r="C167" s="236">
        <v>1</v>
      </c>
      <c r="D167" s="237" t="s">
        <v>465</v>
      </c>
      <c r="E167" s="238">
        <v>150</v>
      </c>
      <c r="F167" s="247">
        <v>45139</v>
      </c>
    </row>
    <row r="168" spans="1:6" x14ac:dyDescent="0.25">
      <c r="A168" s="451"/>
      <c r="B168" s="454"/>
      <c r="C168" s="236">
        <f t="shared" si="3"/>
        <v>2</v>
      </c>
      <c r="D168" s="148" t="s">
        <v>1144</v>
      </c>
      <c r="E168" s="238">
        <v>4000</v>
      </c>
      <c r="F168" s="247">
        <v>45139</v>
      </c>
    </row>
    <row r="169" spans="1:6" x14ac:dyDescent="0.25">
      <c r="A169" s="452"/>
      <c r="B169" s="455"/>
      <c r="C169" s="236">
        <f t="shared" si="3"/>
        <v>3</v>
      </c>
      <c r="D169" s="148"/>
      <c r="E169" s="148"/>
      <c r="F169" s="236"/>
    </row>
    <row r="170" spans="1:6" x14ac:dyDescent="0.25">
      <c r="A170" s="458">
        <v>10</v>
      </c>
      <c r="B170" s="458" t="s">
        <v>466</v>
      </c>
      <c r="C170" s="236">
        <v>1</v>
      </c>
      <c r="D170" s="148" t="s">
        <v>467</v>
      </c>
      <c r="E170" s="238">
        <v>1500</v>
      </c>
      <c r="F170" s="247">
        <v>45139</v>
      </c>
    </row>
    <row r="171" spans="1:6" x14ac:dyDescent="0.25">
      <c r="A171" s="458"/>
      <c r="B171" s="458"/>
      <c r="C171" s="236">
        <f t="shared" si="3"/>
        <v>2</v>
      </c>
      <c r="D171" s="148"/>
      <c r="E171" s="148"/>
      <c r="F171" s="239"/>
    </row>
    <row r="172" spans="1:6" x14ac:dyDescent="0.25">
      <c r="A172" s="458"/>
      <c r="B172" s="458"/>
      <c r="C172" s="236">
        <f t="shared" si="3"/>
        <v>3</v>
      </c>
      <c r="D172" s="148"/>
      <c r="E172" s="148"/>
      <c r="F172" s="148"/>
    </row>
    <row r="173" spans="1:6" x14ac:dyDescent="0.25">
      <c r="A173" s="450">
        <v>11</v>
      </c>
      <c r="B173" s="453" t="s">
        <v>1145</v>
      </c>
      <c r="C173" s="239">
        <v>1</v>
      </c>
      <c r="D173" s="148" t="s">
        <v>1146</v>
      </c>
      <c r="E173" s="238">
        <v>150</v>
      </c>
      <c r="F173" s="247">
        <v>45139</v>
      </c>
    </row>
    <row r="174" spans="1:6" x14ac:dyDescent="0.25">
      <c r="A174" s="451"/>
      <c r="B174" s="454"/>
      <c r="C174" s="239">
        <v>2</v>
      </c>
      <c r="D174" s="148" t="s">
        <v>1147</v>
      </c>
      <c r="E174" s="238">
        <v>290</v>
      </c>
      <c r="F174" s="247">
        <v>45139</v>
      </c>
    </row>
    <row r="175" spans="1:6" x14ac:dyDescent="0.25">
      <c r="A175" s="452"/>
      <c r="B175" s="455"/>
      <c r="C175" s="239">
        <v>3</v>
      </c>
      <c r="D175" s="148"/>
      <c r="E175" s="148"/>
      <c r="F175" s="148"/>
    </row>
  </sheetData>
  <autoFilter ref="A3:F3"/>
  <mergeCells count="20">
    <mergeCell ref="A173:A175"/>
    <mergeCell ref="B173:B175"/>
    <mergeCell ref="D108:D109"/>
    <mergeCell ref="E108:E109"/>
    <mergeCell ref="A167:A169"/>
    <mergeCell ref="B167:B169"/>
    <mergeCell ref="A170:A172"/>
    <mergeCell ref="B170:B172"/>
    <mergeCell ref="A15:A30"/>
    <mergeCell ref="B15:B30"/>
    <mergeCell ref="A32:A74"/>
    <mergeCell ref="B32:B74"/>
    <mergeCell ref="A75:A166"/>
    <mergeCell ref="B75:B166"/>
    <mergeCell ref="A4:A9"/>
    <mergeCell ref="B4:B9"/>
    <mergeCell ref="A11:A12"/>
    <mergeCell ref="B11:B12"/>
    <mergeCell ref="A13:A14"/>
    <mergeCell ref="B13:B1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'В4.Группы работ услуг'!$B$2:$B$15</xm:f>
          </x14:formula1>
          <xm:sqref>B4:B173 B176:B222</xm:sqref>
        </x14:dataValidation>
        <x14:dataValidation type="list" allowBlank="1" showInputMessage="1" showErrorMessage="1">
          <x14:formula1>
            <xm:f>'В4.Группы работ услуг'!$B$2:$B$14</xm:f>
          </x14:formula1>
          <xm:sqref>B223:B241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23"/>
  <sheetViews>
    <sheetView zoomScale="80" zoomScaleNormal="80" workbookViewId="0">
      <selection activeCell="E7" sqref="E7"/>
    </sheetView>
  </sheetViews>
  <sheetFormatPr defaultColWidth="8.85546875" defaultRowHeight="15" x14ac:dyDescent="0.25"/>
  <cols>
    <col min="1" max="1" width="8.85546875" style="14"/>
    <col min="2" max="2" width="6.28515625" style="14" customWidth="1"/>
    <col min="3" max="3" width="35.28515625" style="14" customWidth="1"/>
    <col min="4" max="4" width="8.7109375" style="14" customWidth="1"/>
    <col min="5" max="5" width="27.42578125" style="14" customWidth="1"/>
    <col min="6" max="6" width="8.7109375" style="14" customWidth="1"/>
    <col min="7" max="7" width="102.5703125" style="14" customWidth="1"/>
    <col min="8" max="9" width="8.85546875" style="14"/>
    <col min="10" max="10" width="11.42578125" style="14" bestFit="1" customWidth="1"/>
    <col min="11" max="16384" width="8.85546875" style="14"/>
  </cols>
  <sheetData>
    <row r="1" spans="1:8" x14ac:dyDescent="0.25">
      <c r="A1" s="32"/>
      <c r="B1" s="32"/>
      <c r="C1" s="32"/>
      <c r="D1" s="32"/>
      <c r="E1" s="32"/>
      <c r="F1" s="32"/>
      <c r="G1" s="32"/>
      <c r="H1" s="32"/>
    </row>
    <row r="2" spans="1:8" ht="18" x14ac:dyDescent="0.25">
      <c r="A2" s="32"/>
      <c r="B2" s="322" t="s">
        <v>134</v>
      </c>
      <c r="C2" s="322"/>
      <c r="D2" s="322"/>
      <c r="E2" s="322"/>
      <c r="F2" s="322"/>
      <c r="G2" s="322"/>
      <c r="H2" s="32"/>
    </row>
    <row r="3" spans="1:8" x14ac:dyDescent="0.25">
      <c r="A3" s="32"/>
      <c r="B3" s="32"/>
      <c r="C3" s="32"/>
      <c r="D3" s="32"/>
      <c r="E3" s="32"/>
      <c r="F3" s="32"/>
      <c r="G3" s="32"/>
      <c r="H3" s="32"/>
    </row>
    <row r="4" spans="1:8" ht="31.5" x14ac:dyDescent="0.25">
      <c r="A4" s="13"/>
      <c r="B4" s="126" t="s">
        <v>62</v>
      </c>
      <c r="C4" s="126" t="s">
        <v>54</v>
      </c>
      <c r="D4" s="126"/>
      <c r="E4" s="126" t="s">
        <v>132</v>
      </c>
      <c r="F4" s="126" t="s">
        <v>56</v>
      </c>
      <c r="G4" s="126" t="s">
        <v>133</v>
      </c>
      <c r="H4" s="13"/>
    </row>
    <row r="5" spans="1:8" ht="40.15" customHeight="1" x14ac:dyDescent="0.25">
      <c r="A5" s="13"/>
      <c r="B5" s="126">
        <v>1</v>
      </c>
      <c r="C5" s="319" t="s">
        <v>9</v>
      </c>
      <c r="D5" s="320"/>
      <c r="E5" s="311">
        <v>6</v>
      </c>
      <c r="F5" s="312" t="s">
        <v>24</v>
      </c>
      <c r="G5" s="313" t="s">
        <v>1295</v>
      </c>
      <c r="H5" s="13"/>
    </row>
    <row r="6" spans="1:8" ht="40.15" customHeight="1" x14ac:dyDescent="0.25">
      <c r="A6" s="13"/>
      <c r="B6" s="126">
        <v>2</v>
      </c>
      <c r="C6" s="276" t="s">
        <v>1285</v>
      </c>
      <c r="D6" s="309"/>
      <c r="E6" s="323" t="s">
        <v>1286</v>
      </c>
      <c r="F6" s="324"/>
      <c r="G6" s="325"/>
      <c r="H6" s="13"/>
    </row>
    <row r="7" spans="1:8" ht="47.25" x14ac:dyDescent="0.25">
      <c r="A7" s="13"/>
      <c r="B7" s="310" t="s">
        <v>1283</v>
      </c>
      <c r="C7" s="319" t="s">
        <v>1282</v>
      </c>
      <c r="D7" s="320"/>
      <c r="E7" s="100">
        <v>1180.8560221256701</v>
      </c>
      <c r="F7" s="307" t="s">
        <v>1272</v>
      </c>
      <c r="G7" s="308" t="s">
        <v>1311</v>
      </c>
      <c r="H7" s="13"/>
    </row>
    <row r="8" spans="1:8" ht="54" customHeight="1" x14ac:dyDescent="0.25">
      <c r="A8" s="13"/>
      <c r="B8" s="310" t="s">
        <v>1284</v>
      </c>
      <c r="C8" s="319" t="s">
        <v>1281</v>
      </c>
      <c r="D8" s="320"/>
      <c r="E8" s="100">
        <f>E7*8*E10/12</f>
        <v>194447.62497669365</v>
      </c>
      <c r="F8" s="101" t="s">
        <v>1273</v>
      </c>
      <c r="G8" s="102" t="s">
        <v>1292</v>
      </c>
      <c r="H8" s="13"/>
    </row>
    <row r="9" spans="1:8" ht="40.15" customHeight="1" x14ac:dyDescent="0.25">
      <c r="A9" s="13"/>
      <c r="B9" s="126">
        <v>3</v>
      </c>
      <c r="C9" s="319" t="s">
        <v>36</v>
      </c>
      <c r="D9" s="320"/>
      <c r="E9" s="103">
        <v>9.8000000000000007</v>
      </c>
      <c r="F9" s="101" t="s">
        <v>35</v>
      </c>
      <c r="G9" s="102" t="s">
        <v>1293</v>
      </c>
      <c r="H9" s="258" t="str">
        <f>IF(E9=0,"",IF(ABS(E9)&lt;0.3,CONCATENATE("Проверьте значение: процент вводится как целое или дробное число от 0 до 100, а не от 0 до 1"),""))</f>
        <v/>
      </c>
    </row>
    <row r="10" spans="1:8" ht="40.15" customHeight="1" x14ac:dyDescent="0.25">
      <c r="A10" s="13"/>
      <c r="B10" s="126">
        <v>4</v>
      </c>
      <c r="C10" s="319" t="s">
        <v>71</v>
      </c>
      <c r="D10" s="320"/>
      <c r="E10" s="316">
        <v>247</v>
      </c>
      <c r="F10" s="314" t="s">
        <v>45</v>
      </c>
      <c r="G10" s="315" t="s">
        <v>1316</v>
      </c>
      <c r="H10" s="13"/>
    </row>
    <row r="11" spans="1:8" ht="73.5" customHeight="1" x14ac:dyDescent="0.25">
      <c r="A11" s="13"/>
      <c r="B11" s="126">
        <v>5</v>
      </c>
      <c r="C11" s="319" t="s">
        <v>72</v>
      </c>
      <c r="D11" s="320"/>
      <c r="E11" s="103">
        <v>1.302</v>
      </c>
      <c r="F11" s="101" t="s">
        <v>73</v>
      </c>
      <c r="G11" s="102" t="s">
        <v>1296</v>
      </c>
      <c r="H11" s="13"/>
    </row>
    <row r="12" spans="1:8" ht="31.5" x14ac:dyDescent="0.25">
      <c r="A12" s="13"/>
      <c r="B12" s="321">
        <v>6</v>
      </c>
      <c r="C12" s="319" t="s">
        <v>1220</v>
      </c>
      <c r="D12" s="276" t="s">
        <v>1213</v>
      </c>
      <c r="E12" s="317">
        <v>4.4569999999999999</v>
      </c>
      <c r="F12" s="314" t="s">
        <v>153</v>
      </c>
      <c r="G12" s="315" t="s">
        <v>1218</v>
      </c>
      <c r="H12" s="13"/>
    </row>
    <row r="13" spans="1:8" ht="31.5" x14ac:dyDescent="0.25">
      <c r="A13" s="13"/>
      <c r="B13" s="321"/>
      <c r="C13" s="319"/>
      <c r="D13" s="276" t="s">
        <v>1214</v>
      </c>
      <c r="E13" s="317">
        <v>4.0259999999999998</v>
      </c>
      <c r="F13" s="314" t="s">
        <v>153</v>
      </c>
      <c r="G13" s="315" t="s">
        <v>1218</v>
      </c>
      <c r="H13" s="13"/>
    </row>
    <row r="14" spans="1:8" ht="31.5" x14ac:dyDescent="0.25">
      <c r="A14" s="13"/>
      <c r="B14" s="321"/>
      <c r="C14" s="319"/>
      <c r="D14" s="276" t="s">
        <v>1215</v>
      </c>
      <c r="E14" s="317">
        <v>4.0380000000000003</v>
      </c>
      <c r="F14" s="314" t="s">
        <v>153</v>
      </c>
      <c r="G14" s="315" t="s">
        <v>1218</v>
      </c>
      <c r="H14" s="13"/>
    </row>
    <row r="15" spans="1:8" ht="15.75" x14ac:dyDescent="0.25">
      <c r="A15" s="13"/>
      <c r="B15" s="321"/>
      <c r="C15" s="319"/>
      <c r="D15" s="276" t="s">
        <v>1216</v>
      </c>
      <c r="E15" s="317">
        <v>4.0380000000000003</v>
      </c>
      <c r="F15" s="314" t="s">
        <v>153</v>
      </c>
      <c r="G15" s="315" t="s">
        <v>1219</v>
      </c>
      <c r="H15" s="13"/>
    </row>
    <row r="16" spans="1:8" ht="15.75" x14ac:dyDescent="0.25">
      <c r="A16" s="13"/>
      <c r="B16" s="321"/>
      <c r="C16" s="319"/>
      <c r="D16" s="276" t="s">
        <v>1217</v>
      </c>
      <c r="E16" s="317">
        <v>4.0380000000000003</v>
      </c>
      <c r="F16" s="314" t="s">
        <v>153</v>
      </c>
      <c r="G16" s="315" t="s">
        <v>1219</v>
      </c>
      <c r="H16" s="13"/>
    </row>
    <row r="17" spans="1:8" ht="31.5" x14ac:dyDescent="0.25">
      <c r="A17" s="13"/>
      <c r="B17" s="321">
        <v>7</v>
      </c>
      <c r="C17" s="319" t="s">
        <v>1280</v>
      </c>
      <c r="D17" s="276" t="s">
        <v>1213</v>
      </c>
      <c r="E17" s="317">
        <v>13.215999999999999</v>
      </c>
      <c r="F17" s="314" t="s">
        <v>153</v>
      </c>
      <c r="G17" s="315" t="s">
        <v>1218</v>
      </c>
      <c r="H17" s="13"/>
    </row>
    <row r="18" spans="1:8" ht="31.5" x14ac:dyDescent="0.25">
      <c r="A18" s="13"/>
      <c r="B18" s="321"/>
      <c r="C18" s="319"/>
      <c r="D18" s="276" t="s">
        <v>1214</v>
      </c>
      <c r="E18" s="317">
        <v>10.221</v>
      </c>
      <c r="F18" s="314" t="s">
        <v>153</v>
      </c>
      <c r="G18" s="315" t="s">
        <v>1218</v>
      </c>
      <c r="H18" s="13"/>
    </row>
    <row r="19" spans="1:8" ht="31.5" x14ac:dyDescent="0.25">
      <c r="A19" s="13"/>
      <c r="B19" s="321"/>
      <c r="C19" s="319"/>
      <c r="D19" s="276" t="s">
        <v>1215</v>
      </c>
      <c r="E19" s="317">
        <v>8.2850000000000001</v>
      </c>
      <c r="F19" s="314" t="s">
        <v>153</v>
      </c>
      <c r="G19" s="315" t="s">
        <v>1218</v>
      </c>
      <c r="H19" s="13"/>
    </row>
    <row r="20" spans="1:8" ht="15.75" x14ac:dyDescent="0.25">
      <c r="A20" s="13"/>
      <c r="B20" s="321"/>
      <c r="C20" s="319"/>
      <c r="D20" s="276" t="s">
        <v>1216</v>
      </c>
      <c r="E20" s="317">
        <v>8.2850000000000001</v>
      </c>
      <c r="F20" s="314" t="s">
        <v>153</v>
      </c>
      <c r="G20" s="315" t="s">
        <v>1219</v>
      </c>
      <c r="H20" s="13"/>
    </row>
    <row r="21" spans="1:8" ht="15.75" x14ac:dyDescent="0.25">
      <c r="A21" s="13"/>
      <c r="B21" s="321"/>
      <c r="C21" s="319"/>
      <c r="D21" s="276" t="s">
        <v>1217</v>
      </c>
      <c r="E21" s="317">
        <v>8.2850000000000001</v>
      </c>
      <c r="F21" s="314" t="s">
        <v>153</v>
      </c>
      <c r="G21" s="315" t="s">
        <v>1219</v>
      </c>
      <c r="H21" s="13"/>
    </row>
    <row r="22" spans="1:8" x14ac:dyDescent="0.25">
      <c r="A22" s="13"/>
      <c r="B22" s="13"/>
      <c r="C22" s="13"/>
      <c r="D22" s="13"/>
      <c r="E22" s="13"/>
      <c r="F22" s="13"/>
      <c r="G22" s="13"/>
      <c r="H22" s="13"/>
    </row>
    <row r="23" spans="1:8" x14ac:dyDescent="0.25">
      <c r="A23" s="13"/>
      <c r="B23" s="13"/>
      <c r="C23" s="13"/>
      <c r="D23" s="13"/>
      <c r="E23" s="13"/>
      <c r="F23" s="13"/>
      <c r="G23" s="13"/>
      <c r="H23" s="13"/>
    </row>
  </sheetData>
  <mergeCells count="12">
    <mergeCell ref="B2:G2"/>
    <mergeCell ref="C5:D5"/>
    <mergeCell ref="C8:D8"/>
    <mergeCell ref="C9:D9"/>
    <mergeCell ref="C10:D10"/>
    <mergeCell ref="C7:D7"/>
    <mergeCell ref="E6:G6"/>
    <mergeCell ref="C11:D11"/>
    <mergeCell ref="B17:B21"/>
    <mergeCell ref="C17:C21"/>
    <mergeCell ref="C12:C16"/>
    <mergeCell ref="B12:B16"/>
  </mergeCells>
  <pageMargins left="0.7" right="0.7" top="0.75" bottom="0.75" header="0.3" footer="0.3"/>
  <pageSetup paperSize="9" scale="4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50"/>
  <sheetViews>
    <sheetView workbookViewId="0">
      <selection activeCell="L17" sqref="L17"/>
    </sheetView>
  </sheetViews>
  <sheetFormatPr defaultRowHeight="15" x14ac:dyDescent="0.25"/>
  <cols>
    <col min="1" max="1" width="5.7109375" style="139" customWidth="1"/>
    <col min="2" max="2" width="34.85546875" customWidth="1"/>
    <col min="3" max="3" width="5.7109375" customWidth="1"/>
    <col min="4" max="4" width="66.140625" customWidth="1"/>
    <col min="5" max="5" width="23.28515625" customWidth="1"/>
    <col min="6" max="6" width="15.7109375" style="139" customWidth="1"/>
  </cols>
  <sheetData>
    <row r="1" spans="1:8" ht="15.75" x14ac:dyDescent="0.25">
      <c r="A1" s="149" t="s">
        <v>172</v>
      </c>
    </row>
    <row r="3" spans="1:8" ht="30" x14ac:dyDescent="0.25">
      <c r="A3" s="135" t="s">
        <v>257</v>
      </c>
      <c r="B3" s="135" t="s">
        <v>468</v>
      </c>
      <c r="C3" s="135" t="s">
        <v>257</v>
      </c>
      <c r="D3" s="135" t="s">
        <v>469</v>
      </c>
      <c r="E3" s="135" t="s">
        <v>470</v>
      </c>
      <c r="F3" s="135" t="s">
        <v>262</v>
      </c>
    </row>
    <row r="4" spans="1:8" x14ac:dyDescent="0.25">
      <c r="A4" s="459">
        <v>1</v>
      </c>
      <c r="B4" s="460" t="s">
        <v>464</v>
      </c>
      <c r="C4" s="140">
        <v>1</v>
      </c>
      <c r="D4" s="150" t="s">
        <v>471</v>
      </c>
      <c r="E4" s="151">
        <v>34825</v>
      </c>
      <c r="F4" s="152">
        <v>44896</v>
      </c>
    </row>
    <row r="5" spans="1:8" x14ac:dyDescent="0.25">
      <c r="A5" s="459"/>
      <c r="B5" s="460"/>
      <c r="C5" s="140">
        <f>C4+1</f>
        <v>2</v>
      </c>
      <c r="D5" s="150" t="s">
        <v>472</v>
      </c>
      <c r="E5" s="151">
        <v>966879</v>
      </c>
      <c r="F5" s="152">
        <v>44896</v>
      </c>
    </row>
    <row r="6" spans="1:8" x14ac:dyDescent="0.25">
      <c r="A6" s="459"/>
      <c r="B6" s="460"/>
      <c r="C6" s="140">
        <f t="shared" ref="C6:C12" si="0">C5+1</f>
        <v>3</v>
      </c>
      <c r="D6" s="150" t="s">
        <v>473</v>
      </c>
      <c r="E6" s="151">
        <v>2162652.5</v>
      </c>
      <c r="F6" s="152">
        <v>44896</v>
      </c>
    </row>
    <row r="7" spans="1:8" ht="30" x14ac:dyDescent="0.25">
      <c r="A7" s="459"/>
      <c r="B7" s="460"/>
      <c r="C7" s="140">
        <f t="shared" si="0"/>
        <v>4</v>
      </c>
      <c r="D7" s="150" t="s">
        <v>474</v>
      </c>
      <c r="E7" s="151">
        <v>62227</v>
      </c>
      <c r="F7" s="152">
        <v>44896</v>
      </c>
    </row>
    <row r="8" spans="1:8" ht="45" x14ac:dyDescent="0.25">
      <c r="A8" s="459"/>
      <c r="B8" s="460"/>
      <c r="C8" s="140">
        <f t="shared" si="0"/>
        <v>5</v>
      </c>
      <c r="D8" s="150" t="s">
        <v>475</v>
      </c>
      <c r="E8" s="151">
        <v>5127317</v>
      </c>
      <c r="F8" s="152">
        <v>44896</v>
      </c>
    </row>
    <row r="9" spans="1:8" ht="45" x14ac:dyDescent="0.25">
      <c r="A9" s="459"/>
      <c r="B9" s="460"/>
      <c r="C9" s="140">
        <f t="shared" si="0"/>
        <v>6</v>
      </c>
      <c r="D9" s="150" t="s">
        <v>476</v>
      </c>
      <c r="E9" s="151">
        <v>7635076.7999999998</v>
      </c>
      <c r="F9" s="152">
        <v>44896</v>
      </c>
    </row>
    <row r="10" spans="1:8" x14ac:dyDescent="0.25">
      <c r="A10" s="459"/>
      <c r="B10" s="460"/>
      <c r="C10" s="140">
        <f t="shared" si="0"/>
        <v>7</v>
      </c>
      <c r="D10" s="150" t="s">
        <v>477</v>
      </c>
      <c r="E10" s="151">
        <v>93147</v>
      </c>
      <c r="F10" s="152">
        <v>44896</v>
      </c>
    </row>
    <row r="11" spans="1:8" x14ac:dyDescent="0.25">
      <c r="A11" s="459"/>
      <c r="B11" s="460"/>
      <c r="C11" s="140">
        <f t="shared" si="0"/>
        <v>8</v>
      </c>
      <c r="D11" s="150" t="s">
        <v>478</v>
      </c>
      <c r="E11" s="151">
        <v>4431568</v>
      </c>
      <c r="F11" s="152">
        <v>44896</v>
      </c>
    </row>
    <row r="12" spans="1:8" x14ac:dyDescent="0.25">
      <c r="A12" s="459"/>
      <c r="B12" s="460"/>
      <c r="C12" s="140">
        <f t="shared" si="0"/>
        <v>9</v>
      </c>
      <c r="D12" s="150" t="s">
        <v>479</v>
      </c>
      <c r="E12" s="151">
        <v>10634218.4</v>
      </c>
      <c r="F12" s="152">
        <v>44896</v>
      </c>
    </row>
    <row r="13" spans="1:8" ht="30" x14ac:dyDescent="0.25">
      <c r="A13" s="445">
        <v>2</v>
      </c>
      <c r="B13" s="446" t="s">
        <v>326</v>
      </c>
      <c r="C13" s="140">
        <v>1</v>
      </c>
      <c r="D13" s="248" t="s">
        <v>480</v>
      </c>
      <c r="E13" s="249">
        <v>1980</v>
      </c>
      <c r="F13" s="250">
        <v>2013</v>
      </c>
      <c r="H13" t="s">
        <v>482</v>
      </c>
    </row>
    <row r="14" spans="1:8" ht="45" x14ac:dyDescent="0.25">
      <c r="A14" s="445"/>
      <c r="B14" s="446"/>
      <c r="C14" s="140">
        <f>C13+1</f>
        <v>2</v>
      </c>
      <c r="D14" s="248" t="s">
        <v>483</v>
      </c>
      <c r="E14" s="249">
        <v>170</v>
      </c>
      <c r="F14" s="250">
        <v>2013</v>
      </c>
    </row>
    <row r="15" spans="1:8" ht="30" x14ac:dyDescent="0.25">
      <c r="A15" s="445"/>
      <c r="B15" s="446"/>
      <c r="C15" s="140">
        <f>C14+1</f>
        <v>3</v>
      </c>
      <c r="D15" s="248" t="s">
        <v>484</v>
      </c>
      <c r="E15" s="249">
        <v>3100</v>
      </c>
      <c r="F15" s="250">
        <v>2013</v>
      </c>
    </row>
    <row r="16" spans="1:8" ht="30" x14ac:dyDescent="0.25">
      <c r="A16" s="445"/>
      <c r="B16" s="446"/>
      <c r="C16" s="140">
        <f>C15+1</f>
        <v>4</v>
      </c>
      <c r="D16" s="248" t="s">
        <v>485</v>
      </c>
      <c r="E16" s="249">
        <v>1200</v>
      </c>
      <c r="F16" s="250">
        <v>2013</v>
      </c>
    </row>
    <row r="17" spans="1:8" ht="30" x14ac:dyDescent="0.25">
      <c r="A17" s="445"/>
      <c r="B17" s="446"/>
      <c r="C17" s="140">
        <f>C16+1</f>
        <v>5</v>
      </c>
      <c r="D17" s="248" t="s">
        <v>485</v>
      </c>
      <c r="E17" s="249">
        <v>3150</v>
      </c>
      <c r="F17" s="250">
        <v>2013</v>
      </c>
    </row>
    <row r="18" spans="1:8" ht="45" x14ac:dyDescent="0.25">
      <c r="A18" s="442"/>
      <c r="B18" s="447"/>
      <c r="C18" s="153">
        <f>C17+1</f>
        <v>6</v>
      </c>
      <c r="D18" s="248" t="s">
        <v>486</v>
      </c>
      <c r="E18" s="249">
        <v>1950</v>
      </c>
      <c r="F18" s="250">
        <v>2013</v>
      </c>
    </row>
    <row r="19" spans="1:8" ht="30" x14ac:dyDescent="0.25">
      <c r="A19" s="442">
        <v>3</v>
      </c>
      <c r="B19" s="447" t="s">
        <v>487</v>
      </c>
      <c r="C19" s="140">
        <v>1</v>
      </c>
      <c r="D19" s="248" t="s">
        <v>488</v>
      </c>
      <c r="E19" s="249">
        <v>290000</v>
      </c>
      <c r="F19" s="250" t="s">
        <v>481</v>
      </c>
      <c r="H19" t="s">
        <v>482</v>
      </c>
    </row>
    <row r="20" spans="1:8" ht="45" x14ac:dyDescent="0.25">
      <c r="A20" s="443"/>
      <c r="B20" s="448"/>
      <c r="C20" s="140">
        <f>C19+1</f>
        <v>2</v>
      </c>
      <c r="D20" s="248" t="s">
        <v>489</v>
      </c>
      <c r="E20" s="249">
        <v>2120000</v>
      </c>
      <c r="F20" s="250" t="s">
        <v>481</v>
      </c>
    </row>
    <row r="21" spans="1:8" ht="30" x14ac:dyDescent="0.25">
      <c r="A21" s="443"/>
      <c r="B21" s="448"/>
      <c r="C21" s="140">
        <f t="shared" ref="C21:C36" si="1">C20+1</f>
        <v>3</v>
      </c>
      <c r="D21" s="248" t="s">
        <v>490</v>
      </c>
      <c r="E21" s="249">
        <v>2120000</v>
      </c>
      <c r="F21" s="250" t="s">
        <v>481</v>
      </c>
    </row>
    <row r="22" spans="1:8" ht="60" x14ac:dyDescent="0.25">
      <c r="A22" s="443"/>
      <c r="B22" s="448"/>
      <c r="C22" s="140">
        <f t="shared" si="1"/>
        <v>4</v>
      </c>
      <c r="D22" s="248" t="s">
        <v>491</v>
      </c>
      <c r="E22" s="249">
        <v>2120000</v>
      </c>
      <c r="F22" s="250" t="s">
        <v>481</v>
      </c>
    </row>
    <row r="23" spans="1:8" ht="30" x14ac:dyDescent="0.25">
      <c r="A23" s="443"/>
      <c r="B23" s="448"/>
      <c r="C23" s="140">
        <f t="shared" si="1"/>
        <v>5</v>
      </c>
      <c r="D23" s="248" t="s">
        <v>492</v>
      </c>
      <c r="E23" s="249">
        <v>2120000</v>
      </c>
      <c r="F23" s="250" t="s">
        <v>481</v>
      </c>
    </row>
    <row r="24" spans="1:8" ht="30" x14ac:dyDescent="0.25">
      <c r="A24" s="443"/>
      <c r="B24" s="448"/>
      <c r="C24" s="140">
        <f t="shared" si="1"/>
        <v>6</v>
      </c>
      <c r="D24" s="248" t="s">
        <v>493</v>
      </c>
      <c r="E24" s="249">
        <v>166306000</v>
      </c>
      <c r="F24" s="250" t="s">
        <v>481</v>
      </c>
    </row>
    <row r="25" spans="1:8" ht="45" x14ac:dyDescent="0.25">
      <c r="A25" s="443"/>
      <c r="B25" s="448"/>
      <c r="C25" s="140">
        <f t="shared" si="1"/>
        <v>7</v>
      </c>
      <c r="D25" s="248" t="s">
        <v>494</v>
      </c>
      <c r="E25" s="249">
        <v>131100000000</v>
      </c>
      <c r="F25" s="250" t="s">
        <v>481</v>
      </c>
    </row>
    <row r="26" spans="1:8" x14ac:dyDescent="0.25">
      <c r="A26" s="443"/>
      <c r="B26" s="448"/>
      <c r="C26" s="140">
        <f t="shared" si="1"/>
        <v>8</v>
      </c>
      <c r="D26" s="248" t="s">
        <v>495</v>
      </c>
      <c r="E26" s="249">
        <v>6247000</v>
      </c>
      <c r="F26" s="250" t="s">
        <v>481</v>
      </c>
    </row>
    <row r="27" spans="1:8" x14ac:dyDescent="0.25">
      <c r="A27" s="443"/>
      <c r="B27" s="448"/>
      <c r="C27" s="140">
        <f t="shared" si="1"/>
        <v>9</v>
      </c>
      <c r="D27" s="248" t="s">
        <v>496</v>
      </c>
      <c r="E27" s="249">
        <v>6247000</v>
      </c>
      <c r="F27" s="250" t="s">
        <v>481</v>
      </c>
    </row>
    <row r="28" spans="1:8" ht="30" x14ac:dyDescent="0.25">
      <c r="A28" s="443"/>
      <c r="B28" s="448"/>
      <c r="C28" s="140">
        <f t="shared" si="1"/>
        <v>10</v>
      </c>
      <c r="D28" s="248" t="s">
        <v>497</v>
      </c>
      <c r="E28" s="249">
        <v>6247000</v>
      </c>
      <c r="F28" s="250" t="s">
        <v>481</v>
      </c>
    </row>
    <row r="29" spans="1:8" x14ac:dyDescent="0.25">
      <c r="A29" s="443"/>
      <c r="B29" s="448"/>
      <c r="C29" s="140">
        <f t="shared" si="1"/>
        <v>11</v>
      </c>
      <c r="D29" s="248" t="s">
        <v>498</v>
      </c>
      <c r="E29" s="249">
        <v>6247000</v>
      </c>
      <c r="F29" s="250" t="s">
        <v>481</v>
      </c>
    </row>
    <row r="30" spans="1:8" ht="30" x14ac:dyDescent="0.25">
      <c r="A30" s="443"/>
      <c r="B30" s="448"/>
      <c r="C30" s="140">
        <f t="shared" si="1"/>
        <v>12</v>
      </c>
      <c r="D30" s="248" t="s">
        <v>499</v>
      </c>
      <c r="E30" s="249">
        <v>166306000</v>
      </c>
      <c r="F30" s="250" t="s">
        <v>481</v>
      </c>
    </row>
    <row r="31" spans="1:8" ht="45" x14ac:dyDescent="0.25">
      <c r="A31" s="443"/>
      <c r="B31" s="448"/>
      <c r="C31" s="140">
        <f t="shared" si="1"/>
        <v>13</v>
      </c>
      <c r="D31" s="248" t="s">
        <v>500</v>
      </c>
      <c r="E31" s="249">
        <v>407500000</v>
      </c>
      <c r="F31" s="250" t="s">
        <v>481</v>
      </c>
    </row>
    <row r="32" spans="1:8" ht="30" x14ac:dyDescent="0.25">
      <c r="A32" s="443"/>
      <c r="B32" s="448"/>
      <c r="C32" s="140">
        <f t="shared" si="1"/>
        <v>14</v>
      </c>
      <c r="D32" s="248" t="s">
        <v>501</v>
      </c>
      <c r="E32" s="249">
        <v>9025000</v>
      </c>
      <c r="F32" s="250" t="s">
        <v>481</v>
      </c>
    </row>
    <row r="33" spans="1:6" x14ac:dyDescent="0.25">
      <c r="A33" s="443"/>
      <c r="B33" s="448"/>
      <c r="C33" s="140">
        <f t="shared" si="1"/>
        <v>15</v>
      </c>
      <c r="D33" s="248" t="s">
        <v>502</v>
      </c>
      <c r="E33" s="249">
        <v>9025000</v>
      </c>
      <c r="F33" s="250" t="s">
        <v>481</v>
      </c>
    </row>
    <row r="34" spans="1:6" x14ac:dyDescent="0.25">
      <c r="A34" s="443"/>
      <c r="B34" s="448"/>
      <c r="C34" s="140">
        <f t="shared" si="1"/>
        <v>16</v>
      </c>
      <c r="D34" s="248" t="s">
        <v>503</v>
      </c>
      <c r="E34" s="249">
        <v>33100000</v>
      </c>
      <c r="F34" s="250" t="s">
        <v>481</v>
      </c>
    </row>
    <row r="35" spans="1:6" ht="30" x14ac:dyDescent="0.25">
      <c r="A35" s="443"/>
      <c r="B35" s="448"/>
      <c r="C35" s="140">
        <f t="shared" si="1"/>
        <v>17</v>
      </c>
      <c r="D35" s="248" t="s">
        <v>504</v>
      </c>
      <c r="E35" s="249">
        <v>36100000</v>
      </c>
      <c r="F35" s="250" t="s">
        <v>481</v>
      </c>
    </row>
    <row r="36" spans="1:6" ht="30" x14ac:dyDescent="0.25">
      <c r="A36" s="444"/>
      <c r="B36" s="449"/>
      <c r="C36" s="140">
        <f t="shared" si="1"/>
        <v>18</v>
      </c>
      <c r="D36" s="248" t="s">
        <v>505</v>
      </c>
      <c r="E36" s="249">
        <v>36100000</v>
      </c>
      <c r="F36" s="250" t="s">
        <v>481</v>
      </c>
    </row>
    <row r="37" spans="1:6" x14ac:dyDescent="0.25">
      <c r="A37" s="154"/>
      <c r="B37" s="133"/>
      <c r="C37" s="133"/>
      <c r="D37" s="133"/>
      <c r="E37" s="133"/>
      <c r="F37" s="154"/>
    </row>
    <row r="38" spans="1:6" x14ac:dyDescent="0.25">
      <c r="A38" s="154"/>
      <c r="B38" s="133"/>
      <c r="C38" s="133"/>
      <c r="D38" s="133"/>
      <c r="E38" s="133"/>
      <c r="F38" s="154"/>
    </row>
    <row r="39" spans="1:6" x14ac:dyDescent="0.25">
      <c r="A39" s="154"/>
      <c r="B39" s="133"/>
      <c r="C39" s="133"/>
      <c r="D39" s="133"/>
      <c r="E39" s="133"/>
      <c r="F39" s="154"/>
    </row>
    <row r="40" spans="1:6" x14ac:dyDescent="0.25">
      <c r="A40" s="154"/>
      <c r="B40" s="133"/>
      <c r="C40" s="133"/>
      <c r="D40" s="133"/>
      <c r="E40" s="133"/>
      <c r="F40" s="154"/>
    </row>
    <row r="41" spans="1:6" x14ac:dyDescent="0.25">
      <c r="A41" s="154"/>
      <c r="B41" s="133"/>
      <c r="C41" s="133"/>
      <c r="D41" s="133"/>
      <c r="E41" s="133"/>
      <c r="F41" s="154"/>
    </row>
    <row r="42" spans="1:6" x14ac:dyDescent="0.25">
      <c r="A42" s="154"/>
      <c r="B42" s="133"/>
      <c r="C42" s="133"/>
      <c r="D42" s="133"/>
      <c r="E42" s="133"/>
      <c r="F42" s="154"/>
    </row>
    <row r="43" spans="1:6" x14ac:dyDescent="0.25">
      <c r="A43" s="154"/>
      <c r="B43" s="133"/>
      <c r="C43" s="133"/>
      <c r="D43" s="133"/>
      <c r="E43" s="133"/>
      <c r="F43" s="154"/>
    </row>
    <row r="44" spans="1:6" x14ac:dyDescent="0.25">
      <c r="A44" s="154"/>
      <c r="B44" s="133"/>
      <c r="C44" s="133"/>
      <c r="D44" s="133"/>
      <c r="E44" s="133"/>
      <c r="F44" s="154"/>
    </row>
    <row r="45" spans="1:6" x14ac:dyDescent="0.25">
      <c r="A45" s="154"/>
      <c r="B45" s="133"/>
      <c r="C45" s="133"/>
      <c r="D45" s="133"/>
      <c r="E45" s="133"/>
      <c r="F45" s="154"/>
    </row>
    <row r="46" spans="1:6" x14ac:dyDescent="0.25">
      <c r="A46" s="154"/>
      <c r="B46" s="133"/>
      <c r="C46" s="133"/>
      <c r="D46" s="133"/>
      <c r="E46" s="133"/>
      <c r="F46" s="154"/>
    </row>
    <row r="47" spans="1:6" x14ac:dyDescent="0.25">
      <c r="A47" s="154"/>
      <c r="B47" s="133"/>
      <c r="C47" s="133"/>
      <c r="D47" s="133"/>
      <c r="E47" s="133"/>
      <c r="F47" s="154"/>
    </row>
    <row r="48" spans="1:6" x14ac:dyDescent="0.25">
      <c r="A48" s="154"/>
      <c r="B48" s="133"/>
      <c r="C48" s="133"/>
      <c r="D48" s="133"/>
      <c r="E48" s="133"/>
      <c r="F48" s="154"/>
    </row>
    <row r="49" spans="1:6" x14ac:dyDescent="0.25">
      <c r="A49" s="154"/>
      <c r="B49" s="133"/>
      <c r="C49" s="133"/>
      <c r="D49" s="133"/>
      <c r="E49" s="133"/>
      <c r="F49" s="154"/>
    </row>
    <row r="50" spans="1:6" x14ac:dyDescent="0.25">
      <c r="A50" s="154"/>
      <c r="B50" s="133"/>
      <c r="C50" s="133"/>
      <c r="D50" s="133"/>
      <c r="E50" s="133"/>
      <c r="F50" s="154"/>
    </row>
  </sheetData>
  <autoFilter ref="A3:F3"/>
  <mergeCells count="6">
    <mergeCell ref="A4:A12"/>
    <mergeCell ref="B4:B12"/>
    <mergeCell ref="A13:A18"/>
    <mergeCell ref="B13:B18"/>
    <mergeCell ref="A19:A36"/>
    <mergeCell ref="B19:B3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'B5.Сферы объектов'!$B$2:$B$26</xm:f>
          </x14:formula1>
          <xm:sqref>B4:B36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Q194" sqref="Q194"/>
    </sheetView>
  </sheetViews>
  <sheetFormatPr defaultRowHeight="15" x14ac:dyDescent="0.25"/>
  <cols>
    <col min="1" max="1" width="4.28515625" customWidth="1"/>
    <col min="2" max="2" width="94.140625" customWidth="1"/>
  </cols>
  <sheetData>
    <row r="1" spans="1:2" x14ac:dyDescent="0.25">
      <c r="B1" s="1" t="s">
        <v>506</v>
      </c>
    </row>
    <row r="2" spans="1:2" x14ac:dyDescent="0.25">
      <c r="A2" s="10">
        <v>1</v>
      </c>
      <c r="B2" s="130" t="s">
        <v>191</v>
      </c>
    </row>
    <row r="3" spans="1:2" x14ac:dyDescent="0.25">
      <c r="A3" s="10">
        <f>A2+1</f>
        <v>2</v>
      </c>
      <c r="B3" s="130" t="s">
        <v>254</v>
      </c>
    </row>
    <row r="4" spans="1:2" x14ac:dyDescent="0.25">
      <c r="A4" s="10">
        <f t="shared" ref="A4:A19" si="0">A3+1</f>
        <v>3</v>
      </c>
      <c r="B4" s="130" t="s">
        <v>253</v>
      </c>
    </row>
    <row r="5" spans="1:2" x14ac:dyDescent="0.25">
      <c r="A5" s="10">
        <f t="shared" si="0"/>
        <v>4</v>
      </c>
      <c r="B5" s="130" t="s">
        <v>242</v>
      </c>
    </row>
    <row r="6" spans="1:2" ht="45" x14ac:dyDescent="0.25">
      <c r="A6" s="10">
        <f t="shared" si="0"/>
        <v>5</v>
      </c>
      <c r="B6" s="130" t="s">
        <v>224</v>
      </c>
    </row>
    <row r="7" spans="1:2" x14ac:dyDescent="0.25">
      <c r="A7" s="10">
        <f t="shared" si="0"/>
        <v>6</v>
      </c>
      <c r="B7" s="130" t="s">
        <v>240</v>
      </c>
    </row>
    <row r="8" spans="1:2" x14ac:dyDescent="0.25">
      <c r="A8" s="10">
        <f t="shared" si="0"/>
        <v>7</v>
      </c>
      <c r="B8" s="130" t="s">
        <v>210</v>
      </c>
    </row>
    <row r="9" spans="1:2" x14ac:dyDescent="0.25">
      <c r="A9" s="10">
        <f t="shared" si="0"/>
        <v>8</v>
      </c>
      <c r="B9" s="130" t="s">
        <v>219</v>
      </c>
    </row>
    <row r="10" spans="1:2" x14ac:dyDescent="0.25">
      <c r="A10" s="10">
        <f t="shared" si="0"/>
        <v>9</v>
      </c>
      <c r="B10" s="130" t="s">
        <v>251</v>
      </c>
    </row>
    <row r="11" spans="1:2" ht="30" x14ac:dyDescent="0.25">
      <c r="A11" s="10">
        <f t="shared" si="0"/>
        <v>10</v>
      </c>
      <c r="B11" s="130" t="s">
        <v>227</v>
      </c>
    </row>
    <row r="12" spans="1:2" x14ac:dyDescent="0.25">
      <c r="A12" s="10">
        <f t="shared" si="0"/>
        <v>11</v>
      </c>
      <c r="B12" s="130" t="s">
        <v>241</v>
      </c>
    </row>
    <row r="13" spans="1:2" x14ac:dyDescent="0.25">
      <c r="A13" s="10">
        <f t="shared" si="0"/>
        <v>12</v>
      </c>
      <c r="B13" s="130" t="s">
        <v>249</v>
      </c>
    </row>
    <row r="14" spans="1:2" x14ac:dyDescent="0.25">
      <c r="A14" s="10">
        <f t="shared" si="0"/>
        <v>13</v>
      </c>
      <c r="B14" s="130" t="s">
        <v>250</v>
      </c>
    </row>
    <row r="15" spans="1:2" x14ac:dyDescent="0.25">
      <c r="A15" s="10">
        <f t="shared" si="0"/>
        <v>14</v>
      </c>
      <c r="B15" s="148" t="s">
        <v>507</v>
      </c>
    </row>
    <row r="16" spans="1:2" x14ac:dyDescent="0.25">
      <c r="A16" s="10">
        <f t="shared" si="0"/>
        <v>15</v>
      </c>
      <c r="B16" s="148" t="s">
        <v>186</v>
      </c>
    </row>
    <row r="17" spans="1:2" x14ac:dyDescent="0.25">
      <c r="A17" s="10">
        <f t="shared" si="0"/>
        <v>16</v>
      </c>
      <c r="B17" s="148" t="s">
        <v>207</v>
      </c>
    </row>
    <row r="18" spans="1:2" x14ac:dyDescent="0.25">
      <c r="A18" s="10">
        <f t="shared" si="0"/>
        <v>17</v>
      </c>
      <c r="B18" s="148" t="s">
        <v>209</v>
      </c>
    </row>
    <row r="19" spans="1:2" x14ac:dyDescent="0.25">
      <c r="A19" s="10">
        <f t="shared" si="0"/>
        <v>18</v>
      </c>
      <c r="B19" s="148" t="s">
        <v>208</v>
      </c>
    </row>
    <row r="20" spans="1:2" x14ac:dyDescent="0.25">
      <c r="A20" s="10">
        <v>19</v>
      </c>
      <c r="B20" s="148" t="s">
        <v>243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W270"/>
  <sheetViews>
    <sheetView workbookViewId="0">
      <selection activeCell="H26" sqref="H26"/>
    </sheetView>
  </sheetViews>
  <sheetFormatPr defaultRowHeight="15" x14ac:dyDescent="0.25"/>
  <cols>
    <col min="1" max="1" width="42.140625" customWidth="1"/>
    <col min="2" max="2" width="20.85546875" customWidth="1"/>
    <col min="3" max="3" width="46.28515625" customWidth="1"/>
    <col min="4" max="7" width="12.140625" customWidth="1"/>
    <col min="8" max="8" width="14.42578125" customWidth="1"/>
    <col min="254" max="254" width="196.7109375" customWidth="1"/>
    <col min="255" max="255" width="22.7109375" customWidth="1"/>
    <col min="256" max="257" width="12.140625" customWidth="1"/>
    <col min="258" max="258" width="16.42578125" customWidth="1"/>
    <col min="259" max="259" width="12.140625" customWidth="1"/>
    <col min="260" max="260" width="12.7109375" customWidth="1"/>
    <col min="261" max="261" width="12.140625" customWidth="1"/>
    <col min="262" max="262" width="14.7109375" customWidth="1"/>
    <col min="510" max="510" width="196.7109375" customWidth="1"/>
    <col min="511" max="511" width="22.7109375" customWidth="1"/>
    <col min="512" max="513" width="12.140625" customWidth="1"/>
    <col min="514" max="514" width="16.42578125" customWidth="1"/>
    <col min="515" max="515" width="12.140625" customWidth="1"/>
    <col min="516" max="516" width="12.7109375" customWidth="1"/>
    <col min="517" max="517" width="12.140625" customWidth="1"/>
    <col min="518" max="518" width="14.7109375" customWidth="1"/>
    <col min="766" max="766" width="196.7109375" customWidth="1"/>
    <col min="767" max="767" width="22.7109375" customWidth="1"/>
    <col min="768" max="769" width="12.140625" customWidth="1"/>
    <col min="770" max="770" width="16.42578125" customWidth="1"/>
    <col min="771" max="771" width="12.140625" customWidth="1"/>
    <col min="772" max="772" width="12.7109375" customWidth="1"/>
    <col min="773" max="773" width="12.140625" customWidth="1"/>
    <col min="774" max="774" width="14.7109375" customWidth="1"/>
    <col min="1022" max="1022" width="196.7109375" customWidth="1"/>
    <col min="1023" max="1023" width="22.7109375" customWidth="1"/>
    <col min="1024" max="1025" width="12.140625" customWidth="1"/>
    <col min="1026" max="1026" width="16.42578125" customWidth="1"/>
    <col min="1027" max="1027" width="12.140625" customWidth="1"/>
    <col min="1028" max="1028" width="12.7109375" customWidth="1"/>
    <col min="1029" max="1029" width="12.140625" customWidth="1"/>
    <col min="1030" max="1030" width="14.7109375" customWidth="1"/>
    <col min="1278" max="1278" width="196.7109375" customWidth="1"/>
    <col min="1279" max="1279" width="22.7109375" customWidth="1"/>
    <col min="1280" max="1281" width="12.140625" customWidth="1"/>
    <col min="1282" max="1282" width="16.42578125" customWidth="1"/>
    <col min="1283" max="1283" width="12.140625" customWidth="1"/>
    <col min="1284" max="1284" width="12.7109375" customWidth="1"/>
    <col min="1285" max="1285" width="12.140625" customWidth="1"/>
    <col min="1286" max="1286" width="14.7109375" customWidth="1"/>
    <col min="1534" max="1534" width="196.7109375" customWidth="1"/>
    <col min="1535" max="1535" width="22.7109375" customWidth="1"/>
    <col min="1536" max="1537" width="12.140625" customWidth="1"/>
    <col min="1538" max="1538" width="16.42578125" customWidth="1"/>
    <col min="1539" max="1539" width="12.140625" customWidth="1"/>
    <col min="1540" max="1540" width="12.7109375" customWidth="1"/>
    <col min="1541" max="1541" width="12.140625" customWidth="1"/>
    <col min="1542" max="1542" width="14.7109375" customWidth="1"/>
    <col min="1790" max="1790" width="196.7109375" customWidth="1"/>
    <col min="1791" max="1791" width="22.7109375" customWidth="1"/>
    <col min="1792" max="1793" width="12.140625" customWidth="1"/>
    <col min="1794" max="1794" width="16.42578125" customWidth="1"/>
    <col min="1795" max="1795" width="12.140625" customWidth="1"/>
    <col min="1796" max="1796" width="12.7109375" customWidth="1"/>
    <col min="1797" max="1797" width="12.140625" customWidth="1"/>
    <col min="1798" max="1798" width="14.7109375" customWidth="1"/>
    <col min="2046" max="2046" width="196.7109375" customWidth="1"/>
    <col min="2047" max="2047" width="22.7109375" customWidth="1"/>
    <col min="2048" max="2049" width="12.140625" customWidth="1"/>
    <col min="2050" max="2050" width="16.42578125" customWidth="1"/>
    <col min="2051" max="2051" width="12.140625" customWidth="1"/>
    <col min="2052" max="2052" width="12.7109375" customWidth="1"/>
    <col min="2053" max="2053" width="12.140625" customWidth="1"/>
    <col min="2054" max="2054" width="14.7109375" customWidth="1"/>
    <col min="2302" max="2302" width="196.7109375" customWidth="1"/>
    <col min="2303" max="2303" width="22.7109375" customWidth="1"/>
    <col min="2304" max="2305" width="12.140625" customWidth="1"/>
    <col min="2306" max="2306" width="16.42578125" customWidth="1"/>
    <col min="2307" max="2307" width="12.140625" customWidth="1"/>
    <col min="2308" max="2308" width="12.7109375" customWidth="1"/>
    <col min="2309" max="2309" width="12.140625" customWidth="1"/>
    <col min="2310" max="2310" width="14.7109375" customWidth="1"/>
    <col min="2558" max="2558" width="196.7109375" customWidth="1"/>
    <col min="2559" max="2559" width="22.7109375" customWidth="1"/>
    <col min="2560" max="2561" width="12.140625" customWidth="1"/>
    <col min="2562" max="2562" width="16.42578125" customWidth="1"/>
    <col min="2563" max="2563" width="12.140625" customWidth="1"/>
    <col min="2564" max="2564" width="12.7109375" customWidth="1"/>
    <col min="2565" max="2565" width="12.140625" customWidth="1"/>
    <col min="2566" max="2566" width="14.7109375" customWidth="1"/>
    <col min="2814" max="2814" width="196.7109375" customWidth="1"/>
    <col min="2815" max="2815" width="22.7109375" customWidth="1"/>
    <col min="2816" max="2817" width="12.140625" customWidth="1"/>
    <col min="2818" max="2818" width="16.42578125" customWidth="1"/>
    <col min="2819" max="2819" width="12.140625" customWidth="1"/>
    <col min="2820" max="2820" width="12.7109375" customWidth="1"/>
    <col min="2821" max="2821" width="12.140625" customWidth="1"/>
    <col min="2822" max="2822" width="14.7109375" customWidth="1"/>
    <col min="3070" max="3070" width="196.7109375" customWidth="1"/>
    <col min="3071" max="3071" width="22.7109375" customWidth="1"/>
    <col min="3072" max="3073" width="12.140625" customWidth="1"/>
    <col min="3074" max="3074" width="16.42578125" customWidth="1"/>
    <col min="3075" max="3075" width="12.140625" customWidth="1"/>
    <col min="3076" max="3076" width="12.7109375" customWidth="1"/>
    <col min="3077" max="3077" width="12.140625" customWidth="1"/>
    <col min="3078" max="3078" width="14.7109375" customWidth="1"/>
    <col min="3326" max="3326" width="196.7109375" customWidth="1"/>
    <col min="3327" max="3327" width="22.7109375" customWidth="1"/>
    <col min="3328" max="3329" width="12.140625" customWidth="1"/>
    <col min="3330" max="3330" width="16.42578125" customWidth="1"/>
    <col min="3331" max="3331" width="12.140625" customWidth="1"/>
    <col min="3332" max="3332" width="12.7109375" customWidth="1"/>
    <col min="3333" max="3333" width="12.140625" customWidth="1"/>
    <col min="3334" max="3334" width="14.7109375" customWidth="1"/>
    <col min="3582" max="3582" width="196.7109375" customWidth="1"/>
    <col min="3583" max="3583" width="22.7109375" customWidth="1"/>
    <col min="3584" max="3585" width="12.140625" customWidth="1"/>
    <col min="3586" max="3586" width="16.42578125" customWidth="1"/>
    <col min="3587" max="3587" width="12.140625" customWidth="1"/>
    <col min="3588" max="3588" width="12.7109375" customWidth="1"/>
    <col min="3589" max="3589" width="12.140625" customWidth="1"/>
    <col min="3590" max="3590" width="14.7109375" customWidth="1"/>
    <col min="3838" max="3838" width="196.7109375" customWidth="1"/>
    <col min="3839" max="3839" width="22.7109375" customWidth="1"/>
    <col min="3840" max="3841" width="12.140625" customWidth="1"/>
    <col min="3842" max="3842" width="16.42578125" customWidth="1"/>
    <col min="3843" max="3843" width="12.140625" customWidth="1"/>
    <col min="3844" max="3844" width="12.7109375" customWidth="1"/>
    <col min="3845" max="3845" width="12.140625" customWidth="1"/>
    <col min="3846" max="3846" width="14.7109375" customWidth="1"/>
    <col min="4094" max="4094" width="196.7109375" customWidth="1"/>
    <col min="4095" max="4095" width="22.7109375" customWidth="1"/>
    <col min="4096" max="4097" width="12.140625" customWidth="1"/>
    <col min="4098" max="4098" width="16.42578125" customWidth="1"/>
    <col min="4099" max="4099" width="12.140625" customWidth="1"/>
    <col min="4100" max="4100" width="12.7109375" customWidth="1"/>
    <col min="4101" max="4101" width="12.140625" customWidth="1"/>
    <col min="4102" max="4102" width="14.7109375" customWidth="1"/>
    <col min="4350" max="4350" width="196.7109375" customWidth="1"/>
    <col min="4351" max="4351" width="22.7109375" customWidth="1"/>
    <col min="4352" max="4353" width="12.140625" customWidth="1"/>
    <col min="4354" max="4354" width="16.42578125" customWidth="1"/>
    <col min="4355" max="4355" width="12.140625" customWidth="1"/>
    <col min="4356" max="4356" width="12.7109375" customWidth="1"/>
    <col min="4357" max="4357" width="12.140625" customWidth="1"/>
    <col min="4358" max="4358" width="14.7109375" customWidth="1"/>
    <col min="4606" max="4606" width="196.7109375" customWidth="1"/>
    <col min="4607" max="4607" width="22.7109375" customWidth="1"/>
    <col min="4608" max="4609" width="12.140625" customWidth="1"/>
    <col min="4610" max="4610" width="16.42578125" customWidth="1"/>
    <col min="4611" max="4611" width="12.140625" customWidth="1"/>
    <col min="4612" max="4612" width="12.7109375" customWidth="1"/>
    <col min="4613" max="4613" width="12.140625" customWidth="1"/>
    <col min="4614" max="4614" width="14.7109375" customWidth="1"/>
    <col min="4862" max="4862" width="196.7109375" customWidth="1"/>
    <col min="4863" max="4863" width="22.7109375" customWidth="1"/>
    <col min="4864" max="4865" width="12.140625" customWidth="1"/>
    <col min="4866" max="4866" width="16.42578125" customWidth="1"/>
    <col min="4867" max="4867" width="12.140625" customWidth="1"/>
    <col min="4868" max="4868" width="12.7109375" customWidth="1"/>
    <col min="4869" max="4869" width="12.140625" customWidth="1"/>
    <col min="4870" max="4870" width="14.7109375" customWidth="1"/>
    <col min="5118" max="5118" width="196.7109375" customWidth="1"/>
    <col min="5119" max="5119" width="22.7109375" customWidth="1"/>
    <col min="5120" max="5121" width="12.140625" customWidth="1"/>
    <col min="5122" max="5122" width="16.42578125" customWidth="1"/>
    <col min="5123" max="5123" width="12.140625" customWidth="1"/>
    <col min="5124" max="5124" width="12.7109375" customWidth="1"/>
    <col min="5125" max="5125" width="12.140625" customWidth="1"/>
    <col min="5126" max="5126" width="14.7109375" customWidth="1"/>
    <col min="5374" max="5374" width="196.7109375" customWidth="1"/>
    <col min="5375" max="5375" width="22.7109375" customWidth="1"/>
    <col min="5376" max="5377" width="12.140625" customWidth="1"/>
    <col min="5378" max="5378" width="16.42578125" customWidth="1"/>
    <col min="5379" max="5379" width="12.140625" customWidth="1"/>
    <col min="5380" max="5380" width="12.7109375" customWidth="1"/>
    <col min="5381" max="5381" width="12.140625" customWidth="1"/>
    <col min="5382" max="5382" width="14.7109375" customWidth="1"/>
    <col min="5630" max="5630" width="196.7109375" customWidth="1"/>
    <col min="5631" max="5631" width="22.7109375" customWidth="1"/>
    <col min="5632" max="5633" width="12.140625" customWidth="1"/>
    <col min="5634" max="5634" width="16.42578125" customWidth="1"/>
    <col min="5635" max="5635" width="12.140625" customWidth="1"/>
    <col min="5636" max="5636" width="12.7109375" customWidth="1"/>
    <col min="5637" max="5637" width="12.140625" customWidth="1"/>
    <col min="5638" max="5638" width="14.7109375" customWidth="1"/>
    <col min="5886" max="5886" width="196.7109375" customWidth="1"/>
    <col min="5887" max="5887" width="22.7109375" customWidth="1"/>
    <col min="5888" max="5889" width="12.140625" customWidth="1"/>
    <col min="5890" max="5890" width="16.42578125" customWidth="1"/>
    <col min="5891" max="5891" width="12.140625" customWidth="1"/>
    <col min="5892" max="5892" width="12.7109375" customWidth="1"/>
    <col min="5893" max="5893" width="12.140625" customWidth="1"/>
    <col min="5894" max="5894" width="14.7109375" customWidth="1"/>
    <col min="6142" max="6142" width="196.7109375" customWidth="1"/>
    <col min="6143" max="6143" width="22.7109375" customWidth="1"/>
    <col min="6144" max="6145" width="12.140625" customWidth="1"/>
    <col min="6146" max="6146" width="16.42578125" customWidth="1"/>
    <col min="6147" max="6147" width="12.140625" customWidth="1"/>
    <col min="6148" max="6148" width="12.7109375" customWidth="1"/>
    <col min="6149" max="6149" width="12.140625" customWidth="1"/>
    <col min="6150" max="6150" width="14.7109375" customWidth="1"/>
    <col min="6398" max="6398" width="196.7109375" customWidth="1"/>
    <col min="6399" max="6399" width="22.7109375" customWidth="1"/>
    <col min="6400" max="6401" width="12.140625" customWidth="1"/>
    <col min="6402" max="6402" width="16.42578125" customWidth="1"/>
    <col min="6403" max="6403" width="12.140625" customWidth="1"/>
    <col min="6404" max="6404" width="12.7109375" customWidth="1"/>
    <col min="6405" max="6405" width="12.140625" customWidth="1"/>
    <col min="6406" max="6406" width="14.7109375" customWidth="1"/>
    <col min="6654" max="6654" width="196.7109375" customWidth="1"/>
    <col min="6655" max="6655" width="22.7109375" customWidth="1"/>
    <col min="6656" max="6657" width="12.140625" customWidth="1"/>
    <col min="6658" max="6658" width="16.42578125" customWidth="1"/>
    <col min="6659" max="6659" width="12.140625" customWidth="1"/>
    <col min="6660" max="6660" width="12.7109375" customWidth="1"/>
    <col min="6661" max="6661" width="12.140625" customWidth="1"/>
    <col min="6662" max="6662" width="14.7109375" customWidth="1"/>
    <col min="6910" max="6910" width="196.7109375" customWidth="1"/>
    <col min="6911" max="6911" width="22.7109375" customWidth="1"/>
    <col min="6912" max="6913" width="12.140625" customWidth="1"/>
    <col min="6914" max="6914" width="16.42578125" customWidth="1"/>
    <col min="6915" max="6915" width="12.140625" customWidth="1"/>
    <col min="6916" max="6916" width="12.7109375" customWidth="1"/>
    <col min="6917" max="6917" width="12.140625" customWidth="1"/>
    <col min="6918" max="6918" width="14.7109375" customWidth="1"/>
    <col min="7166" max="7166" width="196.7109375" customWidth="1"/>
    <col min="7167" max="7167" width="22.7109375" customWidth="1"/>
    <col min="7168" max="7169" width="12.140625" customWidth="1"/>
    <col min="7170" max="7170" width="16.42578125" customWidth="1"/>
    <col min="7171" max="7171" width="12.140625" customWidth="1"/>
    <col min="7172" max="7172" width="12.7109375" customWidth="1"/>
    <col min="7173" max="7173" width="12.140625" customWidth="1"/>
    <col min="7174" max="7174" width="14.7109375" customWidth="1"/>
    <col min="7422" max="7422" width="196.7109375" customWidth="1"/>
    <col min="7423" max="7423" width="22.7109375" customWidth="1"/>
    <col min="7424" max="7425" width="12.140625" customWidth="1"/>
    <col min="7426" max="7426" width="16.42578125" customWidth="1"/>
    <col min="7427" max="7427" width="12.140625" customWidth="1"/>
    <col min="7428" max="7428" width="12.7109375" customWidth="1"/>
    <col min="7429" max="7429" width="12.140625" customWidth="1"/>
    <col min="7430" max="7430" width="14.7109375" customWidth="1"/>
    <col min="7678" max="7678" width="196.7109375" customWidth="1"/>
    <col min="7679" max="7679" width="22.7109375" customWidth="1"/>
    <col min="7680" max="7681" width="12.140625" customWidth="1"/>
    <col min="7682" max="7682" width="16.42578125" customWidth="1"/>
    <col min="7683" max="7683" width="12.140625" customWidth="1"/>
    <col min="7684" max="7684" width="12.7109375" customWidth="1"/>
    <col min="7685" max="7685" width="12.140625" customWidth="1"/>
    <col min="7686" max="7686" width="14.7109375" customWidth="1"/>
    <col min="7934" max="7934" width="196.7109375" customWidth="1"/>
    <col min="7935" max="7935" width="22.7109375" customWidth="1"/>
    <col min="7936" max="7937" width="12.140625" customWidth="1"/>
    <col min="7938" max="7938" width="16.42578125" customWidth="1"/>
    <col min="7939" max="7939" width="12.140625" customWidth="1"/>
    <col min="7940" max="7940" width="12.7109375" customWidth="1"/>
    <col min="7941" max="7941" width="12.140625" customWidth="1"/>
    <col min="7942" max="7942" width="14.7109375" customWidth="1"/>
    <col min="8190" max="8190" width="196.7109375" customWidth="1"/>
    <col min="8191" max="8191" width="22.7109375" customWidth="1"/>
    <col min="8192" max="8193" width="12.140625" customWidth="1"/>
    <col min="8194" max="8194" width="16.42578125" customWidth="1"/>
    <col min="8195" max="8195" width="12.140625" customWidth="1"/>
    <col min="8196" max="8196" width="12.7109375" customWidth="1"/>
    <col min="8197" max="8197" width="12.140625" customWidth="1"/>
    <col min="8198" max="8198" width="14.7109375" customWidth="1"/>
    <col min="8446" max="8446" width="196.7109375" customWidth="1"/>
    <col min="8447" max="8447" width="22.7109375" customWidth="1"/>
    <col min="8448" max="8449" width="12.140625" customWidth="1"/>
    <col min="8450" max="8450" width="16.42578125" customWidth="1"/>
    <col min="8451" max="8451" width="12.140625" customWidth="1"/>
    <col min="8452" max="8452" width="12.7109375" customWidth="1"/>
    <col min="8453" max="8453" width="12.140625" customWidth="1"/>
    <col min="8454" max="8454" width="14.7109375" customWidth="1"/>
    <col min="8702" max="8702" width="196.7109375" customWidth="1"/>
    <col min="8703" max="8703" width="22.7109375" customWidth="1"/>
    <col min="8704" max="8705" width="12.140625" customWidth="1"/>
    <col min="8706" max="8706" width="16.42578125" customWidth="1"/>
    <col min="8707" max="8707" width="12.140625" customWidth="1"/>
    <col min="8708" max="8708" width="12.7109375" customWidth="1"/>
    <col min="8709" max="8709" width="12.140625" customWidth="1"/>
    <col min="8710" max="8710" width="14.7109375" customWidth="1"/>
    <col min="8958" max="8958" width="196.7109375" customWidth="1"/>
    <col min="8959" max="8959" width="22.7109375" customWidth="1"/>
    <col min="8960" max="8961" width="12.140625" customWidth="1"/>
    <col min="8962" max="8962" width="16.42578125" customWidth="1"/>
    <col min="8963" max="8963" width="12.140625" customWidth="1"/>
    <col min="8964" max="8964" width="12.7109375" customWidth="1"/>
    <col min="8965" max="8965" width="12.140625" customWidth="1"/>
    <col min="8966" max="8966" width="14.7109375" customWidth="1"/>
    <col min="9214" max="9214" width="196.7109375" customWidth="1"/>
    <col min="9215" max="9215" width="22.7109375" customWidth="1"/>
    <col min="9216" max="9217" width="12.140625" customWidth="1"/>
    <col min="9218" max="9218" width="16.42578125" customWidth="1"/>
    <col min="9219" max="9219" width="12.140625" customWidth="1"/>
    <col min="9220" max="9220" width="12.7109375" customWidth="1"/>
    <col min="9221" max="9221" width="12.140625" customWidth="1"/>
    <col min="9222" max="9222" width="14.7109375" customWidth="1"/>
    <col min="9470" max="9470" width="196.7109375" customWidth="1"/>
    <col min="9471" max="9471" width="22.7109375" customWidth="1"/>
    <col min="9472" max="9473" width="12.140625" customWidth="1"/>
    <col min="9474" max="9474" width="16.42578125" customWidth="1"/>
    <col min="9475" max="9475" width="12.140625" customWidth="1"/>
    <col min="9476" max="9476" width="12.7109375" customWidth="1"/>
    <col min="9477" max="9477" width="12.140625" customWidth="1"/>
    <col min="9478" max="9478" width="14.7109375" customWidth="1"/>
    <col min="9726" max="9726" width="196.7109375" customWidth="1"/>
    <col min="9727" max="9727" width="22.7109375" customWidth="1"/>
    <col min="9728" max="9729" width="12.140625" customWidth="1"/>
    <col min="9730" max="9730" width="16.42578125" customWidth="1"/>
    <col min="9731" max="9731" width="12.140625" customWidth="1"/>
    <col min="9732" max="9732" width="12.7109375" customWidth="1"/>
    <col min="9733" max="9733" width="12.140625" customWidth="1"/>
    <col min="9734" max="9734" width="14.7109375" customWidth="1"/>
    <col min="9982" max="9982" width="196.7109375" customWidth="1"/>
    <col min="9983" max="9983" width="22.7109375" customWidth="1"/>
    <col min="9984" max="9985" width="12.140625" customWidth="1"/>
    <col min="9986" max="9986" width="16.42578125" customWidth="1"/>
    <col min="9987" max="9987" width="12.140625" customWidth="1"/>
    <col min="9988" max="9988" width="12.7109375" customWidth="1"/>
    <col min="9989" max="9989" width="12.140625" customWidth="1"/>
    <col min="9990" max="9990" width="14.7109375" customWidth="1"/>
    <col min="10238" max="10238" width="196.7109375" customWidth="1"/>
    <col min="10239" max="10239" width="22.7109375" customWidth="1"/>
    <col min="10240" max="10241" width="12.140625" customWidth="1"/>
    <col min="10242" max="10242" width="16.42578125" customWidth="1"/>
    <col min="10243" max="10243" width="12.140625" customWidth="1"/>
    <col min="10244" max="10244" width="12.7109375" customWidth="1"/>
    <col min="10245" max="10245" width="12.140625" customWidth="1"/>
    <col min="10246" max="10246" width="14.7109375" customWidth="1"/>
    <col min="10494" max="10494" width="196.7109375" customWidth="1"/>
    <col min="10495" max="10495" width="22.7109375" customWidth="1"/>
    <col min="10496" max="10497" width="12.140625" customWidth="1"/>
    <col min="10498" max="10498" width="16.42578125" customWidth="1"/>
    <col min="10499" max="10499" width="12.140625" customWidth="1"/>
    <col min="10500" max="10500" width="12.7109375" customWidth="1"/>
    <col min="10501" max="10501" width="12.140625" customWidth="1"/>
    <col min="10502" max="10502" width="14.7109375" customWidth="1"/>
    <col min="10750" max="10750" width="196.7109375" customWidth="1"/>
    <col min="10751" max="10751" width="22.7109375" customWidth="1"/>
    <col min="10752" max="10753" width="12.140625" customWidth="1"/>
    <col min="10754" max="10754" width="16.42578125" customWidth="1"/>
    <col min="10755" max="10755" width="12.140625" customWidth="1"/>
    <col min="10756" max="10756" width="12.7109375" customWidth="1"/>
    <col min="10757" max="10757" width="12.140625" customWidth="1"/>
    <col min="10758" max="10758" width="14.7109375" customWidth="1"/>
    <col min="11006" max="11006" width="196.7109375" customWidth="1"/>
    <col min="11007" max="11007" width="22.7109375" customWidth="1"/>
    <col min="11008" max="11009" width="12.140625" customWidth="1"/>
    <col min="11010" max="11010" width="16.42578125" customWidth="1"/>
    <col min="11011" max="11011" width="12.140625" customWidth="1"/>
    <col min="11012" max="11012" width="12.7109375" customWidth="1"/>
    <col min="11013" max="11013" width="12.140625" customWidth="1"/>
    <col min="11014" max="11014" width="14.7109375" customWidth="1"/>
    <col min="11262" max="11262" width="196.7109375" customWidth="1"/>
    <col min="11263" max="11263" width="22.7109375" customWidth="1"/>
    <col min="11264" max="11265" width="12.140625" customWidth="1"/>
    <col min="11266" max="11266" width="16.42578125" customWidth="1"/>
    <col min="11267" max="11267" width="12.140625" customWidth="1"/>
    <col min="11268" max="11268" width="12.7109375" customWidth="1"/>
    <col min="11269" max="11269" width="12.140625" customWidth="1"/>
    <col min="11270" max="11270" width="14.7109375" customWidth="1"/>
    <col min="11518" max="11518" width="196.7109375" customWidth="1"/>
    <col min="11519" max="11519" width="22.7109375" customWidth="1"/>
    <col min="11520" max="11521" width="12.140625" customWidth="1"/>
    <col min="11522" max="11522" width="16.42578125" customWidth="1"/>
    <col min="11523" max="11523" width="12.140625" customWidth="1"/>
    <col min="11524" max="11524" width="12.7109375" customWidth="1"/>
    <col min="11525" max="11525" width="12.140625" customWidth="1"/>
    <col min="11526" max="11526" width="14.7109375" customWidth="1"/>
    <col min="11774" max="11774" width="196.7109375" customWidth="1"/>
    <col min="11775" max="11775" width="22.7109375" customWidth="1"/>
    <col min="11776" max="11777" width="12.140625" customWidth="1"/>
    <col min="11778" max="11778" width="16.42578125" customWidth="1"/>
    <col min="11779" max="11779" width="12.140625" customWidth="1"/>
    <col min="11780" max="11780" width="12.7109375" customWidth="1"/>
    <col min="11781" max="11781" width="12.140625" customWidth="1"/>
    <col min="11782" max="11782" width="14.7109375" customWidth="1"/>
    <col min="12030" max="12030" width="196.7109375" customWidth="1"/>
    <col min="12031" max="12031" width="22.7109375" customWidth="1"/>
    <col min="12032" max="12033" width="12.140625" customWidth="1"/>
    <col min="12034" max="12034" width="16.42578125" customWidth="1"/>
    <col min="12035" max="12035" width="12.140625" customWidth="1"/>
    <col min="12036" max="12036" width="12.7109375" customWidth="1"/>
    <col min="12037" max="12037" width="12.140625" customWidth="1"/>
    <col min="12038" max="12038" width="14.7109375" customWidth="1"/>
    <col min="12286" max="12286" width="196.7109375" customWidth="1"/>
    <col min="12287" max="12287" width="22.7109375" customWidth="1"/>
    <col min="12288" max="12289" width="12.140625" customWidth="1"/>
    <col min="12290" max="12290" width="16.42578125" customWidth="1"/>
    <col min="12291" max="12291" width="12.140625" customWidth="1"/>
    <col min="12292" max="12292" width="12.7109375" customWidth="1"/>
    <col min="12293" max="12293" width="12.140625" customWidth="1"/>
    <col min="12294" max="12294" width="14.7109375" customWidth="1"/>
    <col min="12542" max="12542" width="196.7109375" customWidth="1"/>
    <col min="12543" max="12543" width="22.7109375" customWidth="1"/>
    <col min="12544" max="12545" width="12.140625" customWidth="1"/>
    <col min="12546" max="12546" width="16.42578125" customWidth="1"/>
    <col min="12547" max="12547" width="12.140625" customWidth="1"/>
    <col min="12548" max="12548" width="12.7109375" customWidth="1"/>
    <col min="12549" max="12549" width="12.140625" customWidth="1"/>
    <col min="12550" max="12550" width="14.7109375" customWidth="1"/>
    <col min="12798" max="12798" width="196.7109375" customWidth="1"/>
    <col min="12799" max="12799" width="22.7109375" customWidth="1"/>
    <col min="12800" max="12801" width="12.140625" customWidth="1"/>
    <col min="12802" max="12802" width="16.42578125" customWidth="1"/>
    <col min="12803" max="12803" width="12.140625" customWidth="1"/>
    <col min="12804" max="12804" width="12.7109375" customWidth="1"/>
    <col min="12805" max="12805" width="12.140625" customWidth="1"/>
    <col min="12806" max="12806" width="14.7109375" customWidth="1"/>
    <col min="13054" max="13054" width="196.7109375" customWidth="1"/>
    <col min="13055" max="13055" width="22.7109375" customWidth="1"/>
    <col min="13056" max="13057" width="12.140625" customWidth="1"/>
    <col min="13058" max="13058" width="16.42578125" customWidth="1"/>
    <col min="13059" max="13059" width="12.140625" customWidth="1"/>
    <col min="13060" max="13060" width="12.7109375" customWidth="1"/>
    <col min="13061" max="13061" width="12.140625" customWidth="1"/>
    <col min="13062" max="13062" width="14.7109375" customWidth="1"/>
    <col min="13310" max="13310" width="196.7109375" customWidth="1"/>
    <col min="13311" max="13311" width="22.7109375" customWidth="1"/>
    <col min="13312" max="13313" width="12.140625" customWidth="1"/>
    <col min="13314" max="13314" width="16.42578125" customWidth="1"/>
    <col min="13315" max="13315" width="12.140625" customWidth="1"/>
    <col min="13316" max="13316" width="12.7109375" customWidth="1"/>
    <col min="13317" max="13317" width="12.140625" customWidth="1"/>
    <col min="13318" max="13318" width="14.7109375" customWidth="1"/>
    <col min="13566" max="13566" width="196.7109375" customWidth="1"/>
    <col min="13567" max="13567" width="22.7109375" customWidth="1"/>
    <col min="13568" max="13569" width="12.140625" customWidth="1"/>
    <col min="13570" max="13570" width="16.42578125" customWidth="1"/>
    <col min="13571" max="13571" width="12.140625" customWidth="1"/>
    <col min="13572" max="13572" width="12.7109375" customWidth="1"/>
    <col min="13573" max="13573" width="12.140625" customWidth="1"/>
    <col min="13574" max="13574" width="14.7109375" customWidth="1"/>
    <col min="13822" max="13822" width="196.7109375" customWidth="1"/>
    <col min="13823" max="13823" width="22.7109375" customWidth="1"/>
    <col min="13824" max="13825" width="12.140625" customWidth="1"/>
    <col min="13826" max="13826" width="16.42578125" customWidth="1"/>
    <col min="13827" max="13827" width="12.140625" customWidth="1"/>
    <col min="13828" max="13828" width="12.7109375" customWidth="1"/>
    <col min="13829" max="13829" width="12.140625" customWidth="1"/>
    <col min="13830" max="13830" width="14.7109375" customWidth="1"/>
    <col min="14078" max="14078" width="196.7109375" customWidth="1"/>
    <col min="14079" max="14079" width="22.7109375" customWidth="1"/>
    <col min="14080" max="14081" width="12.140625" customWidth="1"/>
    <col min="14082" max="14082" width="16.42578125" customWidth="1"/>
    <col min="14083" max="14083" width="12.140625" customWidth="1"/>
    <col min="14084" max="14084" width="12.7109375" customWidth="1"/>
    <col min="14085" max="14085" width="12.140625" customWidth="1"/>
    <col min="14086" max="14086" width="14.7109375" customWidth="1"/>
    <col min="14334" max="14334" width="196.7109375" customWidth="1"/>
    <col min="14335" max="14335" width="22.7109375" customWidth="1"/>
    <col min="14336" max="14337" width="12.140625" customWidth="1"/>
    <col min="14338" max="14338" width="16.42578125" customWidth="1"/>
    <col min="14339" max="14339" width="12.140625" customWidth="1"/>
    <col min="14340" max="14340" width="12.7109375" customWidth="1"/>
    <col min="14341" max="14341" width="12.140625" customWidth="1"/>
    <col min="14342" max="14342" width="14.7109375" customWidth="1"/>
    <col min="14590" max="14590" width="196.7109375" customWidth="1"/>
    <col min="14591" max="14591" width="22.7109375" customWidth="1"/>
    <col min="14592" max="14593" width="12.140625" customWidth="1"/>
    <col min="14594" max="14594" width="16.42578125" customWidth="1"/>
    <col min="14595" max="14595" width="12.140625" customWidth="1"/>
    <col min="14596" max="14596" width="12.7109375" customWidth="1"/>
    <col min="14597" max="14597" width="12.140625" customWidth="1"/>
    <col min="14598" max="14598" width="14.7109375" customWidth="1"/>
    <col min="14846" max="14846" width="196.7109375" customWidth="1"/>
    <col min="14847" max="14847" width="22.7109375" customWidth="1"/>
    <col min="14848" max="14849" width="12.140625" customWidth="1"/>
    <col min="14850" max="14850" width="16.42578125" customWidth="1"/>
    <col min="14851" max="14851" width="12.140625" customWidth="1"/>
    <col min="14852" max="14852" width="12.7109375" customWidth="1"/>
    <col min="14853" max="14853" width="12.140625" customWidth="1"/>
    <col min="14854" max="14854" width="14.7109375" customWidth="1"/>
    <col min="15102" max="15102" width="196.7109375" customWidth="1"/>
    <col min="15103" max="15103" width="22.7109375" customWidth="1"/>
    <col min="15104" max="15105" width="12.140625" customWidth="1"/>
    <col min="15106" max="15106" width="16.42578125" customWidth="1"/>
    <col min="15107" max="15107" width="12.140625" customWidth="1"/>
    <col min="15108" max="15108" width="12.7109375" customWidth="1"/>
    <col min="15109" max="15109" width="12.140625" customWidth="1"/>
    <col min="15110" max="15110" width="14.7109375" customWidth="1"/>
    <col min="15358" max="15358" width="196.7109375" customWidth="1"/>
    <col min="15359" max="15359" width="22.7109375" customWidth="1"/>
    <col min="15360" max="15361" width="12.140625" customWidth="1"/>
    <col min="15362" max="15362" width="16.42578125" customWidth="1"/>
    <col min="15363" max="15363" width="12.140625" customWidth="1"/>
    <col min="15364" max="15364" width="12.7109375" customWidth="1"/>
    <col min="15365" max="15365" width="12.140625" customWidth="1"/>
    <col min="15366" max="15366" width="14.7109375" customWidth="1"/>
    <col min="15614" max="15614" width="196.7109375" customWidth="1"/>
    <col min="15615" max="15615" width="22.7109375" customWidth="1"/>
    <col min="15616" max="15617" width="12.140625" customWidth="1"/>
    <col min="15618" max="15618" width="16.42578125" customWidth="1"/>
    <col min="15619" max="15619" width="12.140625" customWidth="1"/>
    <col min="15620" max="15620" width="12.7109375" customWidth="1"/>
    <col min="15621" max="15621" width="12.140625" customWidth="1"/>
    <col min="15622" max="15622" width="14.7109375" customWidth="1"/>
    <col min="15870" max="15870" width="196.7109375" customWidth="1"/>
    <col min="15871" max="15871" width="22.7109375" customWidth="1"/>
    <col min="15872" max="15873" width="12.140625" customWidth="1"/>
    <col min="15874" max="15874" width="16.42578125" customWidth="1"/>
    <col min="15875" max="15875" width="12.140625" customWidth="1"/>
    <col min="15876" max="15876" width="12.7109375" customWidth="1"/>
    <col min="15877" max="15877" width="12.140625" customWidth="1"/>
    <col min="15878" max="15878" width="14.7109375" customWidth="1"/>
    <col min="16126" max="16126" width="196.7109375" customWidth="1"/>
    <col min="16127" max="16127" width="22.7109375" customWidth="1"/>
    <col min="16128" max="16129" width="12.140625" customWidth="1"/>
    <col min="16130" max="16130" width="16.42578125" customWidth="1"/>
    <col min="16131" max="16131" width="12.140625" customWidth="1"/>
    <col min="16132" max="16132" width="12.7109375" customWidth="1"/>
    <col min="16133" max="16133" width="12.140625" customWidth="1"/>
    <col min="16134" max="16134" width="14.7109375" customWidth="1"/>
  </cols>
  <sheetData>
    <row r="1" spans="1:23" ht="12.75" customHeight="1" x14ac:dyDescent="0.25">
      <c r="C1" s="128" t="s">
        <v>508</v>
      </c>
      <c r="D1" s="128"/>
      <c r="E1" s="128"/>
      <c r="F1" s="128"/>
      <c r="G1" s="128"/>
      <c r="H1" s="128"/>
      <c r="I1" s="128"/>
      <c r="J1" s="128"/>
      <c r="K1" s="128"/>
      <c r="L1" s="128"/>
      <c r="M1" s="128"/>
      <c r="N1" s="128"/>
      <c r="O1" s="128"/>
      <c r="P1" s="128"/>
      <c r="Q1" s="128"/>
      <c r="R1" s="128"/>
      <c r="S1" s="128"/>
      <c r="T1" s="128"/>
      <c r="U1" s="128"/>
      <c r="V1" s="128"/>
      <c r="W1" s="128"/>
    </row>
    <row r="2" spans="1:23" ht="12.75" customHeight="1" x14ac:dyDescent="0.25">
      <c r="C2" s="155" t="s">
        <v>509</v>
      </c>
      <c r="D2" s="155"/>
      <c r="E2" s="155"/>
      <c r="F2" s="155"/>
      <c r="G2" s="155"/>
    </row>
    <row r="3" spans="1:23" ht="12.75" customHeight="1" x14ac:dyDescent="0.25">
      <c r="C3" s="156" t="s">
        <v>510</v>
      </c>
      <c r="D3" s="156" t="s">
        <v>511</v>
      </c>
      <c r="E3" s="156" t="s">
        <v>510</v>
      </c>
      <c r="F3" s="156" t="s">
        <v>510</v>
      </c>
      <c r="G3" s="156" t="s">
        <v>510</v>
      </c>
      <c r="H3" t="s">
        <v>1140</v>
      </c>
      <c r="I3" s="157" t="s">
        <v>512</v>
      </c>
      <c r="P3" s="157" t="s">
        <v>1139</v>
      </c>
    </row>
    <row r="4" spans="1:23" ht="12.75" customHeight="1" x14ac:dyDescent="0.25">
      <c r="C4" s="156" t="s">
        <v>510</v>
      </c>
      <c r="D4" s="156" t="s">
        <v>513</v>
      </c>
      <c r="E4" s="156" t="s">
        <v>514</v>
      </c>
      <c r="F4" s="156" t="s">
        <v>515</v>
      </c>
      <c r="G4" s="156" t="s">
        <v>516</v>
      </c>
      <c r="I4" s="156" t="s">
        <v>513</v>
      </c>
      <c r="J4" s="156" t="s">
        <v>514</v>
      </c>
      <c r="K4" s="156" t="s">
        <v>515</v>
      </c>
      <c r="L4" s="156" t="s">
        <v>516</v>
      </c>
    </row>
    <row r="5" spans="1:23" ht="12.75" customHeight="1" x14ac:dyDescent="0.25">
      <c r="C5" s="156"/>
      <c r="D5" s="156"/>
      <c r="E5" s="156"/>
      <c r="F5" s="156"/>
      <c r="G5" s="156"/>
      <c r="I5" s="158">
        <v>17</v>
      </c>
      <c r="J5">
        <v>18</v>
      </c>
      <c r="K5">
        <v>22</v>
      </c>
      <c r="L5">
        <v>20</v>
      </c>
    </row>
    <row r="6" spans="1:23" ht="12.75" customHeight="1" x14ac:dyDescent="0.25">
      <c r="A6" s="156" t="s">
        <v>517</v>
      </c>
      <c r="B6" s="158"/>
      <c r="D6" s="159">
        <v>63260.3</v>
      </c>
      <c r="E6" s="159">
        <v>65093.7</v>
      </c>
      <c r="F6" s="159">
        <v>71334.399999999994</v>
      </c>
      <c r="G6" s="159">
        <v>71203.600000000006</v>
      </c>
      <c r="H6" s="230">
        <f>AVERAGE(D6:G6)</f>
        <v>67723</v>
      </c>
      <c r="I6" s="160">
        <f>D6/I$5/8</f>
        <v>465.14926470588239</v>
      </c>
      <c r="J6" s="160">
        <f t="shared" ref="J6:L17" si="0">E6/J$5/8</f>
        <v>452.03958333333333</v>
      </c>
      <c r="K6" s="160">
        <f t="shared" si="0"/>
        <v>405.30909090909086</v>
      </c>
      <c r="L6" s="160">
        <f t="shared" si="0"/>
        <v>445.02250000000004</v>
      </c>
      <c r="P6" s="161">
        <f>AVERAGE(I6:L6)*1.302</f>
        <v>575.32790287767375</v>
      </c>
    </row>
    <row r="7" spans="1:23" ht="12.75" customHeight="1" x14ac:dyDescent="0.25">
      <c r="A7" s="156" t="s">
        <v>518</v>
      </c>
      <c r="B7" s="156" t="s">
        <v>519</v>
      </c>
      <c r="C7" s="156" t="s">
        <v>520</v>
      </c>
      <c r="D7" s="159">
        <v>37607.699999999997</v>
      </c>
      <c r="E7" s="159">
        <v>37138.6</v>
      </c>
      <c r="F7" s="162">
        <v>41727</v>
      </c>
      <c r="G7" s="159">
        <v>41241.5</v>
      </c>
      <c r="H7" s="230">
        <f t="shared" ref="H7:H70" si="1">AVERAGE(D7:G7)</f>
        <v>39428.699999999997</v>
      </c>
      <c r="I7" s="160">
        <f t="shared" ref="I7:L51" si="2">D7/I$5/8</f>
        <v>276.52720588235292</v>
      </c>
      <c r="J7" s="160">
        <f t="shared" si="0"/>
        <v>257.90694444444443</v>
      </c>
      <c r="K7" s="160">
        <f t="shared" si="0"/>
        <v>237.08522727272728</v>
      </c>
      <c r="L7" s="160">
        <f t="shared" si="0"/>
        <v>257.75937499999998</v>
      </c>
      <c r="P7" s="161">
        <f t="shared" ref="P7:P70" si="3">AVERAGE(I7:L7)*1.302</f>
        <v>335.03023397114526</v>
      </c>
    </row>
    <row r="8" spans="1:23" ht="12.75" customHeight="1" x14ac:dyDescent="0.25">
      <c r="C8" s="156" t="s">
        <v>521</v>
      </c>
      <c r="D8" s="159">
        <v>37310.1</v>
      </c>
      <c r="E8" s="159">
        <v>39769.699999999997</v>
      </c>
      <c r="F8" s="159">
        <v>40543.9</v>
      </c>
      <c r="G8" s="159">
        <v>41199.599999999999</v>
      </c>
      <c r="H8" s="230">
        <f t="shared" si="1"/>
        <v>39705.824999999997</v>
      </c>
      <c r="I8" s="160">
        <f t="shared" si="2"/>
        <v>274.33897058823527</v>
      </c>
      <c r="J8" s="160">
        <f t="shared" si="0"/>
        <v>276.17847222222218</v>
      </c>
      <c r="K8" s="160">
        <f t="shared" si="0"/>
        <v>230.36306818181819</v>
      </c>
      <c r="L8" s="160">
        <f t="shared" si="0"/>
        <v>257.4975</v>
      </c>
      <c r="P8" s="161">
        <f t="shared" si="3"/>
        <v>337.99204257798573</v>
      </c>
    </row>
    <row r="9" spans="1:23" ht="12.75" customHeight="1" x14ac:dyDescent="0.25">
      <c r="C9" s="156" t="s">
        <v>522</v>
      </c>
      <c r="D9" s="159">
        <v>48482.400000000001</v>
      </c>
      <c r="E9" s="159">
        <v>40493.5</v>
      </c>
      <c r="F9" s="159">
        <v>41623.1</v>
      </c>
      <c r="G9" s="159">
        <v>47934.5</v>
      </c>
      <c r="H9" s="230">
        <f t="shared" si="1"/>
        <v>44633.375</v>
      </c>
      <c r="I9" s="160">
        <f t="shared" si="2"/>
        <v>356.48823529411766</v>
      </c>
      <c r="J9" s="160">
        <f t="shared" si="0"/>
        <v>281.20486111111109</v>
      </c>
      <c r="K9" s="160">
        <f t="shared" si="0"/>
        <v>236.49488636363637</v>
      </c>
      <c r="L9" s="160">
        <f t="shared" si="0"/>
        <v>299.59062499999999</v>
      </c>
      <c r="P9" s="161">
        <f t="shared" si="3"/>
        <v>382.06493682876561</v>
      </c>
    </row>
    <row r="10" spans="1:23" ht="12.75" customHeight="1" x14ac:dyDescent="0.25">
      <c r="C10" s="156" t="s">
        <v>523</v>
      </c>
      <c r="D10" s="159">
        <v>46566.5</v>
      </c>
      <c r="E10" s="159">
        <v>43273.2</v>
      </c>
      <c r="F10" s="159">
        <v>47346.9</v>
      </c>
      <c r="G10" s="159">
        <v>46388.1</v>
      </c>
      <c r="H10" s="230">
        <f t="shared" si="1"/>
        <v>45893.675000000003</v>
      </c>
      <c r="I10" s="160">
        <f t="shared" si="2"/>
        <v>342.40073529411762</v>
      </c>
      <c r="J10" s="160">
        <f t="shared" si="0"/>
        <v>300.50833333333333</v>
      </c>
      <c r="K10" s="160">
        <f t="shared" si="0"/>
        <v>269.01647727272729</v>
      </c>
      <c r="L10" s="160">
        <f t="shared" si="0"/>
        <v>289.92562499999997</v>
      </c>
      <c r="P10" s="161">
        <f t="shared" si="3"/>
        <v>391.20255612800804</v>
      </c>
    </row>
    <row r="11" spans="1:23" ht="12.75" customHeight="1" x14ac:dyDescent="0.25">
      <c r="C11" s="156" t="s">
        <v>524</v>
      </c>
      <c r="D11" s="159">
        <v>38415.699999999997</v>
      </c>
      <c r="E11" s="159">
        <v>35564.199999999997</v>
      </c>
      <c r="F11" s="159">
        <v>39670.400000000001</v>
      </c>
      <c r="G11" s="159">
        <v>40152.1</v>
      </c>
      <c r="H11" s="230">
        <f t="shared" si="1"/>
        <v>38450.6</v>
      </c>
      <c r="I11" s="160">
        <f t="shared" si="2"/>
        <v>282.46838235294115</v>
      </c>
      <c r="J11" s="160">
        <f t="shared" si="0"/>
        <v>246.9736111111111</v>
      </c>
      <c r="K11" s="160">
        <f t="shared" si="0"/>
        <v>225.4</v>
      </c>
      <c r="L11" s="160">
        <f t="shared" si="0"/>
        <v>250.950625</v>
      </c>
      <c r="P11" s="161">
        <f t="shared" si="3"/>
        <v>327.38549731004906</v>
      </c>
    </row>
    <row r="12" spans="1:23" ht="12.75" customHeight="1" x14ac:dyDescent="0.25">
      <c r="C12" s="156" t="s">
        <v>525</v>
      </c>
      <c r="D12" s="159">
        <v>36643.5</v>
      </c>
      <c r="E12" s="159">
        <v>37143.4</v>
      </c>
      <c r="F12" s="159">
        <v>41681.5</v>
      </c>
      <c r="G12" s="162">
        <v>40904</v>
      </c>
      <c r="H12" s="230">
        <f t="shared" si="1"/>
        <v>39093.1</v>
      </c>
      <c r="I12" s="160">
        <f t="shared" si="2"/>
        <v>269.4375</v>
      </c>
      <c r="J12" s="160">
        <f t="shared" si="0"/>
        <v>257.94027777777779</v>
      </c>
      <c r="K12" s="160">
        <f t="shared" si="0"/>
        <v>236.82670454545453</v>
      </c>
      <c r="L12" s="160">
        <f t="shared" si="0"/>
        <v>255.65</v>
      </c>
      <c r="P12" s="161">
        <f t="shared" si="3"/>
        <v>331.96263399621211</v>
      </c>
    </row>
    <row r="13" spans="1:23" ht="12.75" customHeight="1" x14ac:dyDescent="0.25">
      <c r="C13" s="156" t="s">
        <v>526</v>
      </c>
      <c r="D13" s="159">
        <v>35699.5</v>
      </c>
      <c r="E13" s="159">
        <v>34776.1</v>
      </c>
      <c r="F13" s="159">
        <v>37160.699999999997</v>
      </c>
      <c r="G13" s="159">
        <v>36466.400000000001</v>
      </c>
      <c r="H13" s="230">
        <f t="shared" si="1"/>
        <v>36025.675000000003</v>
      </c>
      <c r="I13" s="160">
        <f t="shared" si="2"/>
        <v>262.49632352941177</v>
      </c>
      <c r="J13" s="160">
        <f t="shared" si="0"/>
        <v>241.50069444444443</v>
      </c>
      <c r="K13" s="160">
        <f t="shared" si="0"/>
        <v>211.1403409090909</v>
      </c>
      <c r="L13" s="160">
        <f t="shared" si="0"/>
        <v>227.91500000000002</v>
      </c>
      <c r="P13" s="161">
        <f t="shared" si="3"/>
        <v>306.9635428163993</v>
      </c>
    </row>
    <row r="14" spans="1:23" ht="12.75" customHeight="1" x14ac:dyDescent="0.25">
      <c r="B14" s="156" t="s">
        <v>527</v>
      </c>
      <c r="C14" s="156" t="s">
        <v>528</v>
      </c>
      <c r="D14" s="159">
        <v>32104.3</v>
      </c>
      <c r="E14" s="159">
        <v>34239.4</v>
      </c>
      <c r="F14" s="159">
        <v>34316.300000000003</v>
      </c>
      <c r="G14" s="162">
        <v>34924</v>
      </c>
      <c r="H14" s="230">
        <f t="shared" si="1"/>
        <v>33896</v>
      </c>
      <c r="I14" s="160">
        <f t="shared" si="2"/>
        <v>236.06102941176471</v>
      </c>
      <c r="J14" s="160">
        <f t="shared" si="0"/>
        <v>237.77361111111111</v>
      </c>
      <c r="K14" s="160">
        <f t="shared" si="0"/>
        <v>194.97897727272729</v>
      </c>
      <c r="L14" s="160">
        <f t="shared" si="0"/>
        <v>218.27500000000001</v>
      </c>
      <c r="P14" s="161">
        <f t="shared" si="3"/>
        <v>288.74734509246883</v>
      </c>
    </row>
    <row r="15" spans="1:23" ht="12.75" customHeight="1" x14ac:dyDescent="0.25">
      <c r="C15" s="156" t="s">
        <v>529</v>
      </c>
      <c r="D15" s="159">
        <v>54793.3</v>
      </c>
      <c r="E15" s="159">
        <v>59663.6</v>
      </c>
      <c r="F15" s="162">
        <v>60024</v>
      </c>
      <c r="G15" s="159">
        <v>57617.1</v>
      </c>
      <c r="H15" s="230">
        <f t="shared" si="1"/>
        <v>58024.5</v>
      </c>
      <c r="I15" s="160">
        <f t="shared" si="2"/>
        <v>402.89191176470592</v>
      </c>
      <c r="J15" s="160">
        <f t="shared" si="0"/>
        <v>414.33055555555552</v>
      </c>
      <c r="K15" s="160">
        <f t="shared" si="0"/>
        <v>341.04545454545456</v>
      </c>
      <c r="L15" s="160">
        <f t="shared" si="0"/>
        <v>360.106875</v>
      </c>
      <c r="P15" s="161">
        <f t="shared" si="3"/>
        <v>494.23099637979055</v>
      </c>
    </row>
    <row r="16" spans="1:23" ht="12.75" customHeight="1" x14ac:dyDescent="0.25">
      <c r="C16" s="156" t="s">
        <v>530</v>
      </c>
      <c r="D16" s="162">
        <v>24171</v>
      </c>
      <c r="E16" s="159">
        <v>26519.8</v>
      </c>
      <c r="F16" s="159">
        <v>30065.7</v>
      </c>
      <c r="G16" s="159">
        <v>25882.6</v>
      </c>
      <c r="H16" s="230">
        <f t="shared" si="1"/>
        <v>26659.775000000001</v>
      </c>
      <c r="I16" s="160">
        <f t="shared" si="2"/>
        <v>177.72794117647058</v>
      </c>
      <c r="J16" s="160">
        <f t="shared" si="0"/>
        <v>184.16527777777776</v>
      </c>
      <c r="K16" s="160">
        <f t="shared" si="0"/>
        <v>170.82784090909092</v>
      </c>
      <c r="L16" s="160">
        <f t="shared" si="0"/>
        <v>161.76624999999999</v>
      </c>
      <c r="P16" s="161">
        <f t="shared" si="3"/>
        <v>226.05561936051694</v>
      </c>
    </row>
    <row r="17" spans="1:16" ht="12.75" customHeight="1" x14ac:dyDescent="0.25">
      <c r="C17" s="156" t="s">
        <v>531</v>
      </c>
      <c r="D17" s="159">
        <v>41975.5</v>
      </c>
      <c r="E17" s="159">
        <v>43849.599999999999</v>
      </c>
      <c r="F17" s="162">
        <v>45588</v>
      </c>
      <c r="G17" s="159">
        <v>50178.5</v>
      </c>
      <c r="H17" s="230">
        <f t="shared" si="1"/>
        <v>45397.9</v>
      </c>
      <c r="I17" s="160">
        <f t="shared" si="2"/>
        <v>308.64338235294116</v>
      </c>
      <c r="J17" s="160">
        <f t="shared" si="0"/>
        <v>304.51111111111112</v>
      </c>
      <c r="K17" s="160">
        <f t="shared" si="0"/>
        <v>259.02272727272725</v>
      </c>
      <c r="L17" s="160">
        <f t="shared" si="0"/>
        <v>313.61562500000002</v>
      </c>
      <c r="P17" s="161">
        <f t="shared" si="3"/>
        <v>385.97557128732177</v>
      </c>
    </row>
    <row r="18" spans="1:16" ht="12.75" customHeight="1" x14ac:dyDescent="0.25">
      <c r="B18" s="156" t="s">
        <v>532</v>
      </c>
      <c r="C18" s="156" t="s">
        <v>533</v>
      </c>
      <c r="D18" s="159">
        <v>142836.9</v>
      </c>
      <c r="E18" s="159">
        <v>116634.1</v>
      </c>
      <c r="F18" s="159">
        <v>132643.6</v>
      </c>
      <c r="G18" s="159">
        <v>170304.2</v>
      </c>
      <c r="H18" s="230">
        <f t="shared" si="1"/>
        <v>140604.70000000001</v>
      </c>
      <c r="I18" s="160">
        <f t="shared" si="2"/>
        <v>1050.2713235294118</v>
      </c>
      <c r="J18" s="160">
        <f t="shared" si="2"/>
        <v>809.95902777777781</v>
      </c>
      <c r="K18" s="160">
        <f t="shared" si="2"/>
        <v>753.65681818181827</v>
      </c>
      <c r="L18" s="160">
        <f t="shared" si="2"/>
        <v>1064.4012500000001</v>
      </c>
      <c r="P18" s="161">
        <f t="shared" si="3"/>
        <v>1197.2828805436723</v>
      </c>
    </row>
    <row r="19" spans="1:16" ht="12.75" customHeight="1" x14ac:dyDescent="0.25">
      <c r="C19" s="156" t="s">
        <v>534</v>
      </c>
      <c r="D19" s="159">
        <v>54352.6</v>
      </c>
      <c r="E19" s="159">
        <v>55069.2</v>
      </c>
      <c r="F19" s="159">
        <v>49660.2</v>
      </c>
      <c r="G19" s="159">
        <v>52234.400000000001</v>
      </c>
      <c r="H19" s="230">
        <f t="shared" si="1"/>
        <v>52829.1</v>
      </c>
      <c r="I19" s="160">
        <f t="shared" si="2"/>
        <v>399.65147058823527</v>
      </c>
      <c r="J19" s="160">
        <f t="shared" si="2"/>
        <v>382.42499999999995</v>
      </c>
      <c r="K19" s="160">
        <f t="shared" si="2"/>
        <v>282.16022727272724</v>
      </c>
      <c r="L19" s="160">
        <f t="shared" si="2"/>
        <v>326.46500000000003</v>
      </c>
      <c r="P19" s="161">
        <f t="shared" si="3"/>
        <v>452.67340265374338</v>
      </c>
    </row>
    <row r="20" spans="1:16" ht="12.75" customHeight="1" x14ac:dyDescent="0.25">
      <c r="A20" s="156" t="s">
        <v>535</v>
      </c>
      <c r="B20" s="156" t="s">
        <v>536</v>
      </c>
      <c r="C20" s="156" t="s">
        <v>537</v>
      </c>
      <c r="D20" s="159">
        <v>94815.8</v>
      </c>
      <c r="E20" s="159">
        <v>94598.8</v>
      </c>
      <c r="F20" s="159">
        <v>102087.8</v>
      </c>
      <c r="G20" s="159">
        <v>99040.5</v>
      </c>
      <c r="H20" s="230">
        <f t="shared" si="1"/>
        <v>97635.725000000006</v>
      </c>
      <c r="I20" s="160">
        <f t="shared" si="2"/>
        <v>697.17500000000007</v>
      </c>
      <c r="J20" s="160">
        <f t="shared" si="2"/>
        <v>656.93611111111113</v>
      </c>
      <c r="K20" s="160">
        <f t="shared" si="2"/>
        <v>580.0443181818182</v>
      </c>
      <c r="L20" s="160">
        <f t="shared" si="2"/>
        <v>619.00312499999995</v>
      </c>
      <c r="P20" s="161">
        <f t="shared" si="3"/>
        <v>831.0531094223486</v>
      </c>
    </row>
    <row r="21" spans="1:16" ht="12.75" customHeight="1" x14ac:dyDescent="0.25">
      <c r="C21" s="156" t="s">
        <v>538</v>
      </c>
      <c r="D21" s="159">
        <v>83071.600000000006</v>
      </c>
      <c r="E21" s="159">
        <v>78195.600000000006</v>
      </c>
      <c r="F21" s="159">
        <v>93304.3</v>
      </c>
      <c r="G21" s="159">
        <v>84783.3</v>
      </c>
      <c r="H21" s="230">
        <f t="shared" si="1"/>
        <v>84838.7</v>
      </c>
      <c r="I21" s="160">
        <f t="shared" si="2"/>
        <v>610.82058823529417</v>
      </c>
      <c r="J21" s="160">
        <f t="shared" si="2"/>
        <v>543.02500000000009</v>
      </c>
      <c r="K21" s="160">
        <f t="shared" si="2"/>
        <v>530.1380681818182</v>
      </c>
      <c r="L21" s="160">
        <f t="shared" si="2"/>
        <v>529.895625</v>
      </c>
      <c r="P21" s="161">
        <f t="shared" si="3"/>
        <v>720.61770610127007</v>
      </c>
    </row>
    <row r="22" spans="1:16" ht="12.75" customHeight="1" x14ac:dyDescent="0.25">
      <c r="B22" s="156" t="s">
        <v>539</v>
      </c>
      <c r="C22" s="156" t="s">
        <v>540</v>
      </c>
      <c r="D22" s="159">
        <v>145985.79999999999</v>
      </c>
      <c r="E22" s="159">
        <v>143264.29999999999</v>
      </c>
      <c r="F22" s="159">
        <v>157500.4</v>
      </c>
      <c r="G22" s="159">
        <v>156146.6</v>
      </c>
      <c r="H22" s="230">
        <f t="shared" si="1"/>
        <v>150724.27499999999</v>
      </c>
      <c r="I22" s="160">
        <f t="shared" si="2"/>
        <v>1073.425</v>
      </c>
      <c r="J22" s="160">
        <f t="shared" si="2"/>
        <v>994.8909722222221</v>
      </c>
      <c r="K22" s="160">
        <f t="shared" si="2"/>
        <v>894.88863636363635</v>
      </c>
      <c r="L22" s="160">
        <f t="shared" si="2"/>
        <v>975.91624999999999</v>
      </c>
      <c r="P22" s="161">
        <f t="shared" si="3"/>
        <v>1282.183839469697</v>
      </c>
    </row>
    <row r="23" spans="1:16" ht="12.75" customHeight="1" x14ac:dyDescent="0.25">
      <c r="C23" s="156" t="s">
        <v>541</v>
      </c>
      <c r="D23" s="159">
        <v>211493.8</v>
      </c>
      <c r="E23" s="159">
        <v>207073.5</v>
      </c>
      <c r="F23" s="159">
        <v>207604.6</v>
      </c>
      <c r="G23" s="159">
        <v>278979.90000000002</v>
      </c>
      <c r="H23" s="230">
        <f t="shared" si="1"/>
        <v>226287.95</v>
      </c>
      <c r="I23" s="160">
        <f t="shared" si="2"/>
        <v>1555.1014705882353</v>
      </c>
      <c r="J23" s="160">
        <f t="shared" si="2"/>
        <v>1438.0104166666667</v>
      </c>
      <c r="K23" s="160">
        <f t="shared" si="2"/>
        <v>1179.5715909090909</v>
      </c>
      <c r="L23" s="160">
        <f t="shared" si="2"/>
        <v>1743.6243750000001</v>
      </c>
      <c r="P23" s="161">
        <f t="shared" si="3"/>
        <v>1925.75820620488</v>
      </c>
    </row>
    <row r="24" spans="1:16" ht="12.75" customHeight="1" x14ac:dyDescent="0.25">
      <c r="B24" s="156" t="s">
        <v>542</v>
      </c>
      <c r="C24" s="156" t="s">
        <v>543</v>
      </c>
      <c r="D24" s="159">
        <v>75482.5</v>
      </c>
      <c r="E24" s="159">
        <v>87859.4</v>
      </c>
      <c r="F24" s="159">
        <v>84897.4</v>
      </c>
      <c r="G24" s="159">
        <v>78292.399999999994</v>
      </c>
      <c r="H24" s="230">
        <f t="shared" si="1"/>
        <v>81632.924999999988</v>
      </c>
      <c r="I24" s="160">
        <f t="shared" si="2"/>
        <v>555.01838235294122</v>
      </c>
      <c r="J24" s="160">
        <f t="shared" si="2"/>
        <v>610.13472222222219</v>
      </c>
      <c r="K24" s="160">
        <f t="shared" si="2"/>
        <v>482.37159090909086</v>
      </c>
      <c r="L24" s="160">
        <f t="shared" si="2"/>
        <v>489.32749999999999</v>
      </c>
      <c r="P24" s="161">
        <f t="shared" si="3"/>
        <v>695.54538963012487</v>
      </c>
    </row>
    <row r="25" spans="1:16" ht="12.75" customHeight="1" x14ac:dyDescent="0.25">
      <c r="C25" s="156" t="s">
        <v>544</v>
      </c>
      <c r="D25" s="159">
        <v>115316.4</v>
      </c>
      <c r="E25" s="159">
        <v>107095.3</v>
      </c>
      <c r="F25" s="159">
        <v>131811.4</v>
      </c>
      <c r="G25" s="159">
        <v>115334.3</v>
      </c>
      <c r="H25" s="230">
        <f t="shared" si="1"/>
        <v>117389.34999999999</v>
      </c>
      <c r="I25" s="160">
        <f t="shared" si="2"/>
        <v>847.91470588235291</v>
      </c>
      <c r="J25" s="160">
        <f t="shared" si="2"/>
        <v>743.71736111111113</v>
      </c>
      <c r="K25" s="160">
        <f t="shared" si="2"/>
        <v>748.9284090909091</v>
      </c>
      <c r="L25" s="160">
        <f t="shared" si="2"/>
        <v>720.83937500000002</v>
      </c>
      <c r="P25" s="161">
        <f t="shared" si="3"/>
        <v>996.48565152796346</v>
      </c>
    </row>
    <row r="26" spans="1:16" ht="12.75" customHeight="1" x14ac:dyDescent="0.25">
      <c r="B26" s="156" t="s">
        <v>545</v>
      </c>
      <c r="C26" s="156" t="s">
        <v>546</v>
      </c>
      <c r="D26" s="159">
        <v>52318.2</v>
      </c>
      <c r="E26" s="159">
        <v>53363.9</v>
      </c>
      <c r="F26" s="162">
        <v>58196</v>
      </c>
      <c r="G26" s="159">
        <v>59377.3</v>
      </c>
      <c r="H26" s="230">
        <f t="shared" si="1"/>
        <v>55813.850000000006</v>
      </c>
      <c r="I26" s="160">
        <f t="shared" si="2"/>
        <v>384.69264705882352</v>
      </c>
      <c r="J26" s="160">
        <f t="shared" si="2"/>
        <v>370.58263888888888</v>
      </c>
      <c r="K26" s="160">
        <f t="shared" si="2"/>
        <v>330.65909090909093</v>
      </c>
      <c r="L26" s="160">
        <f t="shared" si="2"/>
        <v>371.10812500000003</v>
      </c>
      <c r="P26" s="161">
        <f t="shared" si="3"/>
        <v>474.2673343543895</v>
      </c>
    </row>
    <row r="27" spans="1:16" ht="12.75" customHeight="1" x14ac:dyDescent="0.25">
      <c r="C27" s="156" t="s">
        <v>547</v>
      </c>
      <c r="D27" s="159">
        <v>126162.4</v>
      </c>
      <c r="E27" s="159">
        <v>106412.3</v>
      </c>
      <c r="F27" s="159">
        <v>160188.1</v>
      </c>
      <c r="G27" s="159">
        <v>135368.4</v>
      </c>
      <c r="H27" s="230">
        <f t="shared" si="1"/>
        <v>132032.80000000002</v>
      </c>
      <c r="I27" s="160">
        <f t="shared" si="2"/>
        <v>927.66470588235291</v>
      </c>
      <c r="J27" s="160">
        <f t="shared" si="2"/>
        <v>738.97430555555559</v>
      </c>
      <c r="K27" s="160">
        <f t="shared" si="2"/>
        <v>910.15965909090914</v>
      </c>
      <c r="L27" s="160">
        <f t="shared" si="2"/>
        <v>846.05250000000001</v>
      </c>
      <c r="P27" s="161">
        <f t="shared" si="3"/>
        <v>1114.1380560071302</v>
      </c>
    </row>
    <row r="28" spans="1:16" ht="12.75" customHeight="1" x14ac:dyDescent="0.25">
      <c r="B28" s="156" t="s">
        <v>548</v>
      </c>
      <c r="C28" s="156" t="s">
        <v>549</v>
      </c>
      <c r="D28" s="162">
        <v>114582</v>
      </c>
      <c r="E28" s="162">
        <v>109876</v>
      </c>
      <c r="F28" s="162">
        <v>129725</v>
      </c>
      <c r="G28" s="159">
        <v>115564.8</v>
      </c>
      <c r="H28" s="230">
        <f t="shared" si="1"/>
        <v>117436.95</v>
      </c>
      <c r="I28" s="160">
        <f t="shared" si="2"/>
        <v>842.51470588235293</v>
      </c>
      <c r="J28" s="160">
        <f t="shared" si="2"/>
        <v>763.02777777777783</v>
      </c>
      <c r="K28" s="160">
        <f t="shared" si="2"/>
        <v>737.07386363636363</v>
      </c>
      <c r="L28" s="160">
        <f t="shared" si="2"/>
        <v>722.28</v>
      </c>
      <c r="P28" s="161">
        <f t="shared" si="3"/>
        <v>997.62376104500891</v>
      </c>
    </row>
    <row r="29" spans="1:16" ht="12.75" customHeight="1" x14ac:dyDescent="0.25">
      <c r="C29" s="156" t="s">
        <v>550</v>
      </c>
      <c r="D29" s="159">
        <v>90636.800000000003</v>
      </c>
      <c r="E29" s="159">
        <v>94994.7</v>
      </c>
      <c r="F29" s="159">
        <v>103540.9</v>
      </c>
      <c r="G29" s="159">
        <v>104784.9</v>
      </c>
      <c r="H29" s="230">
        <f t="shared" si="1"/>
        <v>98489.325000000012</v>
      </c>
      <c r="I29" s="160">
        <f t="shared" si="2"/>
        <v>666.44705882352946</v>
      </c>
      <c r="J29" s="160">
        <f t="shared" si="2"/>
        <v>659.6854166666667</v>
      </c>
      <c r="K29" s="160">
        <f t="shared" si="2"/>
        <v>588.30056818181811</v>
      </c>
      <c r="L29" s="160">
        <f t="shared" si="2"/>
        <v>654.90562499999999</v>
      </c>
      <c r="P29" s="161">
        <f t="shared" si="3"/>
        <v>836.31973665274063</v>
      </c>
    </row>
    <row r="30" spans="1:16" ht="12.75" customHeight="1" x14ac:dyDescent="0.25">
      <c r="A30" s="156" t="s">
        <v>551</v>
      </c>
      <c r="B30" s="156" t="s">
        <v>552</v>
      </c>
      <c r="C30" s="156" t="s">
        <v>553</v>
      </c>
      <c r="D30" s="159">
        <v>49487.3</v>
      </c>
      <c r="E30" s="159">
        <v>47054.7</v>
      </c>
      <c r="F30" s="159">
        <v>50758.7</v>
      </c>
      <c r="G30" s="159">
        <v>49619.3</v>
      </c>
      <c r="H30" s="230">
        <f t="shared" si="1"/>
        <v>49230</v>
      </c>
      <c r="I30" s="160">
        <f t="shared" si="2"/>
        <v>363.87720588235294</v>
      </c>
      <c r="J30" s="160">
        <f t="shared" si="2"/>
        <v>326.76874999999995</v>
      </c>
      <c r="K30" s="160">
        <f t="shared" si="2"/>
        <v>288.40170454545455</v>
      </c>
      <c r="L30" s="160">
        <f t="shared" si="2"/>
        <v>310.12062500000002</v>
      </c>
      <c r="P30" s="161">
        <f t="shared" si="3"/>
        <v>419.62427690675133</v>
      </c>
    </row>
    <row r="31" spans="1:16" ht="12.75" customHeight="1" x14ac:dyDescent="0.25">
      <c r="C31" s="156" t="s">
        <v>554</v>
      </c>
      <c r="D31" s="159">
        <v>61918.8</v>
      </c>
      <c r="E31" s="159">
        <v>54742.6</v>
      </c>
      <c r="F31" s="159">
        <v>59410.5</v>
      </c>
      <c r="G31" s="159">
        <v>72431.5</v>
      </c>
      <c r="H31" s="230">
        <f t="shared" si="1"/>
        <v>62125.85</v>
      </c>
      <c r="I31" s="160">
        <f t="shared" si="2"/>
        <v>455.28529411764708</v>
      </c>
      <c r="J31" s="160">
        <f t="shared" si="2"/>
        <v>380.15694444444443</v>
      </c>
      <c r="K31" s="160">
        <f t="shared" si="2"/>
        <v>337.55965909090907</v>
      </c>
      <c r="L31" s="160">
        <f t="shared" si="2"/>
        <v>452.69687499999998</v>
      </c>
      <c r="P31" s="161">
        <f t="shared" si="3"/>
        <v>529.16495049855166</v>
      </c>
    </row>
    <row r="32" spans="1:16" ht="12.75" customHeight="1" x14ac:dyDescent="0.25">
      <c r="C32" s="156" t="s">
        <v>555</v>
      </c>
      <c r="D32" s="159">
        <v>42077.4</v>
      </c>
      <c r="E32" s="159">
        <v>45260.9</v>
      </c>
      <c r="F32" s="159">
        <v>44911.7</v>
      </c>
      <c r="G32" s="159">
        <v>48847.7</v>
      </c>
      <c r="H32" s="230">
        <f t="shared" si="1"/>
        <v>45274.425000000003</v>
      </c>
      <c r="I32" s="160">
        <f t="shared" si="2"/>
        <v>309.39264705882351</v>
      </c>
      <c r="J32" s="160">
        <f t="shared" si="2"/>
        <v>314.31180555555557</v>
      </c>
      <c r="K32" s="160">
        <f t="shared" si="2"/>
        <v>255.18011363636361</v>
      </c>
      <c r="L32" s="160">
        <f t="shared" si="2"/>
        <v>305.29812499999997</v>
      </c>
      <c r="P32" s="161">
        <f t="shared" si="3"/>
        <v>385.45146600211677</v>
      </c>
    </row>
    <row r="33" spans="2:16" ht="12.75" customHeight="1" x14ac:dyDescent="0.25">
      <c r="C33" s="156" t="s">
        <v>556</v>
      </c>
      <c r="D33" s="159">
        <v>55491.5</v>
      </c>
      <c r="E33" s="159">
        <v>49560.9</v>
      </c>
      <c r="F33" s="159">
        <v>58839.199999999997</v>
      </c>
      <c r="G33" s="159">
        <v>55442.1</v>
      </c>
      <c r="H33" s="230">
        <f t="shared" si="1"/>
        <v>54833.424999999996</v>
      </c>
      <c r="I33" s="160">
        <f t="shared" si="2"/>
        <v>408.02573529411762</v>
      </c>
      <c r="J33" s="160">
        <f t="shared" si="2"/>
        <v>344.17291666666665</v>
      </c>
      <c r="K33" s="160">
        <f t="shared" si="2"/>
        <v>334.31363636363636</v>
      </c>
      <c r="L33" s="160">
        <f t="shared" si="2"/>
        <v>346.513125</v>
      </c>
      <c r="P33" s="161">
        <f t="shared" si="3"/>
        <v>466.44977203709885</v>
      </c>
    </row>
    <row r="34" spans="2:16" ht="12.75" customHeight="1" x14ac:dyDescent="0.25">
      <c r="C34" s="156" t="s">
        <v>557</v>
      </c>
      <c r="D34" s="159">
        <v>51416.2</v>
      </c>
      <c r="E34" s="159">
        <v>49381.7</v>
      </c>
      <c r="F34" s="159">
        <v>56343.5</v>
      </c>
      <c r="G34" s="159">
        <v>52649.1</v>
      </c>
      <c r="H34" s="230">
        <f t="shared" si="1"/>
        <v>52447.625</v>
      </c>
      <c r="I34" s="160">
        <f t="shared" si="2"/>
        <v>378.06029411764706</v>
      </c>
      <c r="J34" s="160">
        <f t="shared" si="2"/>
        <v>342.92847222222218</v>
      </c>
      <c r="K34" s="160">
        <f t="shared" si="2"/>
        <v>320.13352272727275</v>
      </c>
      <c r="L34" s="160">
        <f t="shared" si="2"/>
        <v>329.05687499999999</v>
      </c>
      <c r="P34" s="161">
        <f t="shared" si="3"/>
        <v>445.99331790385475</v>
      </c>
    </row>
    <row r="35" spans="2:16" ht="12.75" customHeight="1" x14ac:dyDescent="0.25">
      <c r="C35" s="156" t="s">
        <v>558</v>
      </c>
      <c r="D35" s="159">
        <v>48594.6</v>
      </c>
      <c r="E35" s="162">
        <v>48937</v>
      </c>
      <c r="F35" s="159">
        <v>52422.8</v>
      </c>
      <c r="G35" s="159">
        <v>52227.7</v>
      </c>
      <c r="H35" s="230">
        <f t="shared" si="1"/>
        <v>50545.525000000009</v>
      </c>
      <c r="I35" s="160">
        <f t="shared" si="2"/>
        <v>357.31323529411765</v>
      </c>
      <c r="J35" s="160">
        <f t="shared" si="2"/>
        <v>339.84027777777777</v>
      </c>
      <c r="K35" s="160">
        <f t="shared" si="2"/>
        <v>297.8568181818182</v>
      </c>
      <c r="L35" s="160">
        <f t="shared" si="2"/>
        <v>326.42312499999997</v>
      </c>
      <c r="P35" s="161">
        <f t="shared" si="3"/>
        <v>430.12659001058375</v>
      </c>
    </row>
    <row r="36" spans="2:16" ht="12.75" customHeight="1" x14ac:dyDescent="0.25">
      <c r="C36" s="156" t="s">
        <v>559</v>
      </c>
      <c r="D36" s="159">
        <v>44557.2</v>
      </c>
      <c r="E36" s="159">
        <v>42405.2</v>
      </c>
      <c r="F36" s="159">
        <v>45886.6</v>
      </c>
      <c r="G36" s="159">
        <v>46567.3</v>
      </c>
      <c r="H36" s="230">
        <f t="shared" si="1"/>
        <v>44854.074999999997</v>
      </c>
      <c r="I36" s="160">
        <f t="shared" si="2"/>
        <v>327.62647058823529</v>
      </c>
      <c r="J36" s="160">
        <f t="shared" si="2"/>
        <v>294.48055555555555</v>
      </c>
      <c r="K36" s="160">
        <f t="shared" si="2"/>
        <v>260.71931818181815</v>
      </c>
      <c r="L36" s="160">
        <f t="shared" si="2"/>
        <v>291.04562500000003</v>
      </c>
      <c r="P36" s="161">
        <f t="shared" si="3"/>
        <v>382.09532601548574</v>
      </c>
    </row>
    <row r="37" spans="2:16" ht="12.75" customHeight="1" x14ac:dyDescent="0.25">
      <c r="C37" s="156" t="s">
        <v>560</v>
      </c>
      <c r="D37" s="159">
        <v>58406.9</v>
      </c>
      <c r="E37" s="159">
        <v>58017.599999999999</v>
      </c>
      <c r="F37" s="159">
        <v>66248.7</v>
      </c>
      <c r="G37" s="162">
        <v>61237</v>
      </c>
      <c r="H37" s="230">
        <f t="shared" si="1"/>
        <v>60977.55</v>
      </c>
      <c r="I37" s="160">
        <f t="shared" si="2"/>
        <v>429.46250000000003</v>
      </c>
      <c r="J37" s="160">
        <f t="shared" si="2"/>
        <v>402.9</v>
      </c>
      <c r="K37" s="160">
        <f t="shared" si="2"/>
        <v>376.41306818181818</v>
      </c>
      <c r="L37" s="160">
        <f t="shared" si="2"/>
        <v>382.73124999999999</v>
      </c>
      <c r="P37" s="161">
        <f t="shared" si="3"/>
        <v>518.03546931818175</v>
      </c>
    </row>
    <row r="38" spans="2:16" ht="12.75" customHeight="1" x14ac:dyDescent="0.25">
      <c r="C38" s="156" t="s">
        <v>561</v>
      </c>
      <c r="D38" s="159">
        <v>62617.8</v>
      </c>
      <c r="E38" s="159">
        <v>60330.6</v>
      </c>
      <c r="F38" s="159">
        <v>82959.899999999994</v>
      </c>
      <c r="G38" s="159">
        <v>65518.6</v>
      </c>
      <c r="H38" s="230">
        <f t="shared" si="1"/>
        <v>67856.724999999991</v>
      </c>
      <c r="I38" s="160">
        <f t="shared" si="2"/>
        <v>460.42500000000001</v>
      </c>
      <c r="J38" s="160">
        <f t="shared" si="2"/>
        <v>418.96249999999998</v>
      </c>
      <c r="K38" s="160">
        <f t="shared" si="2"/>
        <v>471.36306818181816</v>
      </c>
      <c r="L38" s="160">
        <f t="shared" si="2"/>
        <v>409.49124999999998</v>
      </c>
      <c r="P38" s="161">
        <f t="shared" si="3"/>
        <v>572.95871181818188</v>
      </c>
    </row>
    <row r="39" spans="2:16" ht="12.75" customHeight="1" x14ac:dyDescent="0.25">
      <c r="B39" s="156" t="s">
        <v>562</v>
      </c>
      <c r="C39" s="156" t="s">
        <v>563</v>
      </c>
      <c r="D39" s="159">
        <v>57608.5</v>
      </c>
      <c r="E39" s="159">
        <v>56160.6</v>
      </c>
      <c r="F39" s="159">
        <v>70159.8</v>
      </c>
      <c r="G39" s="159">
        <v>71092.399999999994</v>
      </c>
      <c r="H39" s="230">
        <f t="shared" si="1"/>
        <v>63755.325000000004</v>
      </c>
      <c r="I39" s="160">
        <f t="shared" si="2"/>
        <v>423.59191176470586</v>
      </c>
      <c r="J39" s="160">
        <f t="shared" si="2"/>
        <v>390.00416666666666</v>
      </c>
      <c r="K39" s="160">
        <f t="shared" si="2"/>
        <v>398.63522727272726</v>
      </c>
      <c r="L39" s="160">
        <f t="shared" si="2"/>
        <v>444.32749999999999</v>
      </c>
      <c r="P39" s="161">
        <f t="shared" si="3"/>
        <v>539.20989125668439</v>
      </c>
    </row>
    <row r="40" spans="2:16" ht="12.75" customHeight="1" x14ac:dyDescent="0.25">
      <c r="B40" s="156" t="s">
        <v>564</v>
      </c>
      <c r="C40" s="156" t="s">
        <v>565</v>
      </c>
      <c r="D40" s="159">
        <v>130813.3</v>
      </c>
      <c r="E40" s="159">
        <v>166798.29999999999</v>
      </c>
      <c r="F40" s="159">
        <v>148335.79999999999</v>
      </c>
      <c r="G40" s="159">
        <v>145579.6</v>
      </c>
      <c r="H40" s="230">
        <f t="shared" si="1"/>
        <v>147881.75</v>
      </c>
      <c r="I40" s="160">
        <f t="shared" si="2"/>
        <v>961.86250000000007</v>
      </c>
      <c r="J40" s="160">
        <f t="shared" si="2"/>
        <v>1158.3215277777776</v>
      </c>
      <c r="K40" s="160">
        <f t="shared" si="2"/>
        <v>842.81704545454534</v>
      </c>
      <c r="L40" s="160">
        <f t="shared" si="2"/>
        <v>909.87250000000006</v>
      </c>
      <c r="P40" s="161">
        <f t="shared" si="3"/>
        <v>1260.6203480871211</v>
      </c>
    </row>
    <row r="41" spans="2:16" ht="12.75" customHeight="1" x14ac:dyDescent="0.25">
      <c r="B41" s="156" t="s">
        <v>566</v>
      </c>
      <c r="C41" s="156" t="s">
        <v>567</v>
      </c>
      <c r="D41" s="159">
        <v>39186.9</v>
      </c>
      <c r="E41" s="159">
        <v>39381.9</v>
      </c>
      <c r="F41" s="159">
        <v>40919.800000000003</v>
      </c>
      <c r="G41" s="159">
        <v>42189.4</v>
      </c>
      <c r="H41" s="230">
        <f t="shared" si="1"/>
        <v>40419.5</v>
      </c>
      <c r="I41" s="160">
        <f t="shared" si="2"/>
        <v>288.13897058823528</v>
      </c>
      <c r="J41" s="160">
        <f t="shared" si="2"/>
        <v>273.48541666666665</v>
      </c>
      <c r="K41" s="160">
        <f t="shared" si="2"/>
        <v>232.49886363636367</v>
      </c>
      <c r="L41" s="160">
        <f t="shared" si="2"/>
        <v>263.68375000000003</v>
      </c>
      <c r="P41" s="161">
        <f t="shared" si="3"/>
        <v>344.3161787901069</v>
      </c>
    </row>
    <row r="42" spans="2:16" ht="12.75" customHeight="1" x14ac:dyDescent="0.25">
      <c r="C42" s="156" t="s">
        <v>568</v>
      </c>
      <c r="D42" s="159">
        <v>38376.1</v>
      </c>
      <c r="E42" s="159">
        <v>38742.1</v>
      </c>
      <c r="F42" s="159">
        <v>47803.1</v>
      </c>
      <c r="G42" s="159">
        <v>48612.3</v>
      </c>
      <c r="H42" s="230">
        <f t="shared" si="1"/>
        <v>43383.399999999994</v>
      </c>
      <c r="I42" s="160">
        <f t="shared" si="2"/>
        <v>282.17720588235295</v>
      </c>
      <c r="J42" s="160">
        <f t="shared" si="2"/>
        <v>269.04236111111112</v>
      </c>
      <c r="K42" s="160">
        <f t="shared" si="2"/>
        <v>271.60852272727271</v>
      </c>
      <c r="L42" s="160">
        <f t="shared" si="2"/>
        <v>303.82687500000003</v>
      </c>
      <c r="P42" s="161">
        <f t="shared" si="3"/>
        <v>366.72619101659978</v>
      </c>
    </row>
    <row r="43" spans="2:16" ht="12.75" customHeight="1" x14ac:dyDescent="0.25">
      <c r="C43" s="156" t="s">
        <v>569</v>
      </c>
      <c r="D43" s="159">
        <v>38180.300000000003</v>
      </c>
      <c r="E43" s="159">
        <v>39762.400000000001</v>
      </c>
      <c r="F43" s="159">
        <v>45788.3</v>
      </c>
      <c r="G43" s="159">
        <v>43057.3</v>
      </c>
      <c r="H43" s="230">
        <f t="shared" si="1"/>
        <v>41697.075000000004</v>
      </c>
      <c r="I43" s="160">
        <f t="shared" si="2"/>
        <v>280.73750000000001</v>
      </c>
      <c r="J43" s="160">
        <f t="shared" si="2"/>
        <v>276.12777777777779</v>
      </c>
      <c r="K43" s="160">
        <f t="shared" si="2"/>
        <v>260.16079545454545</v>
      </c>
      <c r="L43" s="160">
        <f t="shared" si="2"/>
        <v>269.10812500000003</v>
      </c>
      <c r="P43" s="161">
        <f t="shared" si="3"/>
        <v>353.53668152462126</v>
      </c>
    </row>
    <row r="44" spans="2:16" ht="12.75" customHeight="1" x14ac:dyDescent="0.25">
      <c r="C44" s="156" t="s">
        <v>570</v>
      </c>
      <c r="D44" s="159">
        <v>37864.400000000001</v>
      </c>
      <c r="E44" s="159">
        <v>38577.1</v>
      </c>
      <c r="F44" s="159">
        <v>40775.1</v>
      </c>
      <c r="G44" s="162">
        <v>41276</v>
      </c>
      <c r="H44" s="230">
        <f t="shared" si="1"/>
        <v>39623.15</v>
      </c>
      <c r="I44" s="160">
        <f t="shared" si="2"/>
        <v>278.41470588235296</v>
      </c>
      <c r="J44" s="160">
        <f t="shared" si="2"/>
        <v>267.89652777777775</v>
      </c>
      <c r="K44" s="160">
        <f t="shared" si="2"/>
        <v>231.67670454545453</v>
      </c>
      <c r="L44" s="160">
        <f t="shared" si="2"/>
        <v>257.97500000000002</v>
      </c>
      <c r="P44" s="161">
        <f t="shared" si="3"/>
        <v>337.20593638591799</v>
      </c>
    </row>
    <row r="45" spans="2:16" ht="12.75" customHeight="1" x14ac:dyDescent="0.25">
      <c r="B45" s="156" t="s">
        <v>571</v>
      </c>
      <c r="C45" s="156" t="s">
        <v>572</v>
      </c>
      <c r="D45" s="159">
        <v>28302.799999999999</v>
      </c>
      <c r="E45" s="162">
        <v>28282</v>
      </c>
      <c r="F45" s="162">
        <v>37284</v>
      </c>
      <c r="G45" s="159">
        <v>31899.3</v>
      </c>
      <c r="H45" s="230">
        <f t="shared" si="1"/>
        <v>31442.025000000001</v>
      </c>
      <c r="I45" s="160">
        <f t="shared" si="2"/>
        <v>208.10882352941175</v>
      </c>
      <c r="J45" s="160">
        <f t="shared" si="2"/>
        <v>196.40277777777777</v>
      </c>
      <c r="K45" s="160">
        <f t="shared" si="2"/>
        <v>211.84090909090909</v>
      </c>
      <c r="L45" s="160">
        <f t="shared" si="2"/>
        <v>199.37062499999999</v>
      </c>
      <c r="P45" s="161">
        <f t="shared" si="3"/>
        <v>265.51788057208114</v>
      </c>
    </row>
    <row r="46" spans="2:16" ht="12.75" customHeight="1" x14ac:dyDescent="0.25">
      <c r="C46" s="156" t="s">
        <v>573</v>
      </c>
      <c r="D46" s="159">
        <v>23451.200000000001</v>
      </c>
      <c r="E46" s="159">
        <v>29582.3</v>
      </c>
      <c r="F46" s="159">
        <v>36532.6</v>
      </c>
      <c r="G46" s="159">
        <v>39552.400000000001</v>
      </c>
      <c r="H46" s="230">
        <f t="shared" si="1"/>
        <v>32279.625</v>
      </c>
      <c r="I46" s="160">
        <f t="shared" si="2"/>
        <v>172.43529411764706</v>
      </c>
      <c r="J46" s="160">
        <f t="shared" si="2"/>
        <v>205.43263888888887</v>
      </c>
      <c r="K46" s="160">
        <f t="shared" si="2"/>
        <v>207.5715909090909</v>
      </c>
      <c r="L46" s="160">
        <f t="shared" si="2"/>
        <v>247.20250000000001</v>
      </c>
      <c r="P46" s="161">
        <f t="shared" si="3"/>
        <v>271.02497878453653</v>
      </c>
    </row>
    <row r="47" spans="2:16" ht="12.75" customHeight="1" x14ac:dyDescent="0.25">
      <c r="C47" s="156" t="s">
        <v>574</v>
      </c>
      <c r="D47" s="159">
        <v>28268.6</v>
      </c>
      <c r="E47" s="159">
        <v>29790.400000000001</v>
      </c>
      <c r="F47" s="159">
        <v>30800.7</v>
      </c>
      <c r="G47" s="159">
        <v>34469.800000000003</v>
      </c>
      <c r="H47" s="230">
        <f t="shared" si="1"/>
        <v>30832.375</v>
      </c>
      <c r="I47" s="160">
        <f t="shared" si="2"/>
        <v>207.85735294117646</v>
      </c>
      <c r="J47" s="160">
        <f t="shared" si="2"/>
        <v>206.87777777777779</v>
      </c>
      <c r="K47" s="160">
        <f t="shared" si="2"/>
        <v>175.00397727272727</v>
      </c>
      <c r="L47" s="160">
        <f t="shared" si="2"/>
        <v>215.43625000000003</v>
      </c>
      <c r="P47" s="161">
        <f t="shared" si="3"/>
        <v>262.08457902629232</v>
      </c>
    </row>
    <row r="48" spans="2:16" ht="12.75" customHeight="1" x14ac:dyDescent="0.25">
      <c r="B48" s="156" t="s">
        <v>575</v>
      </c>
      <c r="C48" s="156" t="s">
        <v>576</v>
      </c>
      <c r="D48" s="159">
        <v>36443.800000000003</v>
      </c>
      <c r="E48" s="159">
        <v>39643.699999999997</v>
      </c>
      <c r="F48" s="159">
        <v>41983.1</v>
      </c>
      <c r="G48" s="162">
        <v>42437</v>
      </c>
      <c r="H48" s="230">
        <f t="shared" si="1"/>
        <v>40126.9</v>
      </c>
      <c r="I48" s="160">
        <f t="shared" si="2"/>
        <v>267.96911764705885</v>
      </c>
      <c r="J48" s="160">
        <f t="shared" si="2"/>
        <v>275.30347222222218</v>
      </c>
      <c r="K48" s="160">
        <f t="shared" si="2"/>
        <v>238.5403409090909</v>
      </c>
      <c r="L48" s="160">
        <f t="shared" si="2"/>
        <v>265.23124999999999</v>
      </c>
      <c r="P48" s="161">
        <f t="shared" si="3"/>
        <v>340.81288084336012</v>
      </c>
    </row>
    <row r="49" spans="2:16" ht="12.75" customHeight="1" x14ac:dyDescent="0.25">
      <c r="C49" s="156" t="s">
        <v>577</v>
      </c>
      <c r="D49" s="162">
        <v>35228</v>
      </c>
      <c r="E49" s="159">
        <v>40359.5</v>
      </c>
      <c r="F49" s="159">
        <v>42640.9</v>
      </c>
      <c r="G49" s="159">
        <v>42852.4</v>
      </c>
      <c r="H49" s="230">
        <f t="shared" si="1"/>
        <v>40270.199999999997</v>
      </c>
      <c r="I49" s="160">
        <f t="shared" si="2"/>
        <v>259.02941176470586</v>
      </c>
      <c r="J49" s="160">
        <f t="shared" si="2"/>
        <v>280.27430555555554</v>
      </c>
      <c r="K49" s="160">
        <f t="shared" si="2"/>
        <v>242.27784090909091</v>
      </c>
      <c r="L49" s="160">
        <f t="shared" si="2"/>
        <v>267.82749999999999</v>
      </c>
      <c r="P49" s="161">
        <f t="shared" si="3"/>
        <v>341.58264845365426</v>
      </c>
    </row>
    <row r="50" spans="2:16" ht="12.75" customHeight="1" x14ac:dyDescent="0.25">
      <c r="C50" s="156" t="s">
        <v>579</v>
      </c>
      <c r="D50" s="159">
        <v>36453.800000000003</v>
      </c>
      <c r="E50" s="162">
        <v>37750</v>
      </c>
      <c r="F50" s="159">
        <v>40445.800000000003</v>
      </c>
      <c r="G50" s="159">
        <v>39440.800000000003</v>
      </c>
      <c r="H50" s="230">
        <f t="shared" si="1"/>
        <v>38522.600000000006</v>
      </c>
      <c r="I50" s="160">
        <f t="shared" si="2"/>
        <v>268.04264705882355</v>
      </c>
      <c r="J50" s="160">
        <f t="shared" si="2"/>
        <v>262.15277777777777</v>
      </c>
      <c r="K50" s="160">
        <f t="shared" si="2"/>
        <v>229.80568181818182</v>
      </c>
      <c r="L50" s="160">
        <f t="shared" si="2"/>
        <v>246.50500000000002</v>
      </c>
      <c r="P50" s="161">
        <f t="shared" si="3"/>
        <v>327.6177377161319</v>
      </c>
    </row>
    <row r="51" spans="2:16" ht="12.75" customHeight="1" x14ac:dyDescent="0.25">
      <c r="B51" s="156" t="s">
        <v>578</v>
      </c>
      <c r="C51" s="156" t="s">
        <v>580</v>
      </c>
      <c r="D51" s="159">
        <v>41602.9</v>
      </c>
      <c r="E51" s="159">
        <v>39761.9</v>
      </c>
      <c r="F51" s="159">
        <v>45949.3</v>
      </c>
      <c r="G51" s="162">
        <v>43947</v>
      </c>
      <c r="H51" s="230">
        <f t="shared" si="1"/>
        <v>42815.275000000001</v>
      </c>
      <c r="I51" s="160">
        <f t="shared" si="2"/>
        <v>305.90367647058827</v>
      </c>
      <c r="J51" s="160">
        <f t="shared" si="2"/>
        <v>276.12430555555557</v>
      </c>
      <c r="K51" s="160">
        <f t="shared" si="2"/>
        <v>261.0755681818182</v>
      </c>
      <c r="L51" s="160">
        <f t="shared" si="2"/>
        <v>274.66874999999999</v>
      </c>
      <c r="P51" s="161">
        <f t="shared" si="3"/>
        <v>363.83488371769164</v>
      </c>
    </row>
    <row r="52" spans="2:16" ht="12.75" customHeight="1" x14ac:dyDescent="0.25">
      <c r="B52" s="156" t="s">
        <v>581</v>
      </c>
      <c r="C52" s="156" t="s">
        <v>582</v>
      </c>
      <c r="D52" s="159">
        <v>73083.399999999994</v>
      </c>
      <c r="E52" s="159">
        <v>78397.5</v>
      </c>
      <c r="F52" s="159">
        <v>76746.3</v>
      </c>
      <c r="G52" s="159">
        <v>85817.9</v>
      </c>
      <c r="H52" s="230">
        <f t="shared" si="1"/>
        <v>78511.274999999994</v>
      </c>
      <c r="I52" s="160">
        <f t="shared" ref="I52:L104" si="4">D52/I$5/8</f>
        <v>537.37794117647059</v>
      </c>
      <c r="J52" s="160">
        <f t="shared" si="4"/>
        <v>544.42708333333337</v>
      </c>
      <c r="K52" s="160">
        <f t="shared" si="4"/>
        <v>436.05852272727276</v>
      </c>
      <c r="L52" s="160">
        <f t="shared" si="4"/>
        <v>536.36187499999994</v>
      </c>
      <c r="P52" s="161">
        <f t="shared" si="3"/>
        <v>668.65037493816851</v>
      </c>
    </row>
    <row r="53" spans="2:16" ht="12.75" customHeight="1" x14ac:dyDescent="0.25">
      <c r="C53" s="156" t="s">
        <v>583</v>
      </c>
      <c r="D53" s="159">
        <v>64921.2</v>
      </c>
      <c r="E53" s="159">
        <v>65798.600000000006</v>
      </c>
      <c r="F53" s="159">
        <v>66477.600000000006</v>
      </c>
      <c r="G53" s="159">
        <v>66389.7</v>
      </c>
      <c r="H53" s="230">
        <f t="shared" si="1"/>
        <v>65896.775000000009</v>
      </c>
      <c r="I53" s="160">
        <f t="shared" si="4"/>
        <v>477.36176470588231</v>
      </c>
      <c r="J53" s="160">
        <f t="shared" si="4"/>
        <v>456.93472222222226</v>
      </c>
      <c r="K53" s="160">
        <f t="shared" si="4"/>
        <v>377.7136363636364</v>
      </c>
      <c r="L53" s="160">
        <f t="shared" si="4"/>
        <v>414.93562499999996</v>
      </c>
      <c r="P53" s="161">
        <f t="shared" si="3"/>
        <v>562.12084106896168</v>
      </c>
    </row>
    <row r="54" spans="2:16" ht="12.75" customHeight="1" x14ac:dyDescent="0.25">
      <c r="B54" s="156" t="s">
        <v>584</v>
      </c>
      <c r="C54" s="156" t="s">
        <v>585</v>
      </c>
      <c r="D54" s="162">
        <v>50718</v>
      </c>
      <c r="E54" s="159">
        <v>49084.6</v>
      </c>
      <c r="F54" s="159">
        <v>53013.8</v>
      </c>
      <c r="G54" s="159">
        <v>55285.4</v>
      </c>
      <c r="H54" s="230">
        <f t="shared" si="1"/>
        <v>52025.450000000004</v>
      </c>
      <c r="I54" s="160">
        <f t="shared" si="4"/>
        <v>372.9264705882353</v>
      </c>
      <c r="J54" s="160">
        <f t="shared" si="4"/>
        <v>340.86527777777775</v>
      </c>
      <c r="K54" s="160">
        <f t="shared" si="4"/>
        <v>301.21477272727276</v>
      </c>
      <c r="L54" s="160">
        <f t="shared" si="4"/>
        <v>345.53375</v>
      </c>
      <c r="P54" s="161">
        <f t="shared" si="3"/>
        <v>442.85585824086456</v>
      </c>
    </row>
    <row r="55" spans="2:16" ht="12.75" customHeight="1" x14ac:dyDescent="0.25">
      <c r="C55" s="156" t="s">
        <v>586</v>
      </c>
      <c r="D55" s="159">
        <v>66721.899999999994</v>
      </c>
      <c r="E55" s="162">
        <v>70569</v>
      </c>
      <c r="F55" s="159">
        <v>86614.1</v>
      </c>
      <c r="G55" s="159">
        <v>99961.7</v>
      </c>
      <c r="H55" s="230">
        <f t="shared" si="1"/>
        <v>80966.675000000003</v>
      </c>
      <c r="I55" s="160">
        <f t="shared" si="4"/>
        <v>490.60220588235291</v>
      </c>
      <c r="J55" s="160">
        <f t="shared" si="4"/>
        <v>490.0625</v>
      </c>
      <c r="K55" s="160">
        <f t="shared" si="4"/>
        <v>492.12556818181821</v>
      </c>
      <c r="L55" s="160">
        <f t="shared" si="4"/>
        <v>624.760625</v>
      </c>
      <c r="P55" s="161">
        <f t="shared" si="3"/>
        <v>682.75281764538772</v>
      </c>
    </row>
    <row r="56" spans="2:16" ht="12.75" customHeight="1" x14ac:dyDescent="0.25">
      <c r="B56" s="156" t="s">
        <v>587</v>
      </c>
      <c r="C56" s="156" t="s">
        <v>588</v>
      </c>
      <c r="D56" s="159">
        <v>69094.600000000006</v>
      </c>
      <c r="E56" s="159">
        <v>74771.399999999994</v>
      </c>
      <c r="F56" s="159">
        <v>74953.5</v>
      </c>
      <c r="G56" s="159">
        <v>69876.800000000003</v>
      </c>
      <c r="H56" s="230">
        <f t="shared" si="1"/>
        <v>72174.074999999997</v>
      </c>
      <c r="I56" s="160">
        <f t="shared" si="4"/>
        <v>508.04852941176478</v>
      </c>
      <c r="J56" s="160">
        <f t="shared" si="4"/>
        <v>519.24583333333328</v>
      </c>
      <c r="K56" s="160">
        <f t="shared" si="4"/>
        <v>425.87215909090907</v>
      </c>
      <c r="L56" s="160">
        <f t="shared" si="4"/>
        <v>436.73</v>
      </c>
      <c r="P56" s="161">
        <f t="shared" si="3"/>
        <v>615.16131785762036</v>
      </c>
    </row>
    <row r="57" spans="2:16" ht="12.75" customHeight="1" x14ac:dyDescent="0.25">
      <c r="C57" s="156" t="s">
        <v>589</v>
      </c>
      <c r="D57" s="159">
        <v>97341.7</v>
      </c>
      <c r="E57" s="159">
        <v>106496.2</v>
      </c>
      <c r="F57" s="159">
        <v>108772.5</v>
      </c>
      <c r="G57" s="159">
        <v>108595.3</v>
      </c>
      <c r="H57" s="230">
        <f t="shared" si="1"/>
        <v>105301.425</v>
      </c>
      <c r="I57" s="160">
        <f t="shared" si="4"/>
        <v>715.747794117647</v>
      </c>
      <c r="J57" s="160">
        <f t="shared" si="4"/>
        <v>739.55694444444441</v>
      </c>
      <c r="K57" s="160">
        <f t="shared" si="4"/>
        <v>618.02556818181813</v>
      </c>
      <c r="L57" s="160">
        <f t="shared" si="4"/>
        <v>678.72062500000004</v>
      </c>
      <c r="P57" s="161">
        <f t="shared" si="3"/>
        <v>895.79257828264258</v>
      </c>
    </row>
    <row r="58" spans="2:16" ht="12.75" customHeight="1" x14ac:dyDescent="0.25">
      <c r="C58" s="156" t="s">
        <v>590</v>
      </c>
      <c r="D58" s="159">
        <v>22032.5</v>
      </c>
      <c r="E58" s="159">
        <v>20236.099999999999</v>
      </c>
      <c r="F58" s="159">
        <v>20430.599999999999</v>
      </c>
      <c r="G58" s="162">
        <v>30910</v>
      </c>
      <c r="H58" s="230">
        <f t="shared" si="1"/>
        <v>23402.3</v>
      </c>
      <c r="I58" s="160">
        <f t="shared" si="4"/>
        <v>162.00367647058823</v>
      </c>
      <c r="J58" s="160">
        <f t="shared" si="4"/>
        <v>140.52847222222221</v>
      </c>
      <c r="K58" s="160">
        <f t="shared" si="4"/>
        <v>116.08295454545454</v>
      </c>
      <c r="L58" s="160">
        <f t="shared" si="4"/>
        <v>193.1875</v>
      </c>
      <c r="P58" s="161">
        <f t="shared" si="3"/>
        <v>199.14174735405524</v>
      </c>
    </row>
    <row r="59" spans="2:16" ht="12.75" customHeight="1" x14ac:dyDescent="0.25">
      <c r="B59" s="156" t="s">
        <v>591</v>
      </c>
      <c r="C59" s="156" t="s">
        <v>592</v>
      </c>
      <c r="D59" s="159">
        <v>90465.9</v>
      </c>
      <c r="E59" s="159">
        <v>78488.7</v>
      </c>
      <c r="F59" s="162">
        <v>93498</v>
      </c>
      <c r="G59" s="159">
        <v>89234.1</v>
      </c>
      <c r="H59" s="230">
        <f t="shared" si="1"/>
        <v>87921.674999999988</v>
      </c>
      <c r="I59" s="160">
        <f t="shared" si="4"/>
        <v>665.19044117647059</v>
      </c>
      <c r="J59" s="160">
        <f t="shared" si="4"/>
        <v>545.0604166666667</v>
      </c>
      <c r="K59" s="160">
        <f t="shared" si="4"/>
        <v>531.23863636363637</v>
      </c>
      <c r="L59" s="160">
        <f t="shared" si="4"/>
        <v>557.71312499999999</v>
      </c>
      <c r="P59" s="161">
        <f t="shared" si="3"/>
        <v>748.39045255180474</v>
      </c>
    </row>
    <row r="60" spans="2:16" ht="12.75" customHeight="1" x14ac:dyDescent="0.25">
      <c r="C60" s="156" t="s">
        <v>593</v>
      </c>
      <c r="D60" s="162">
        <v>83953</v>
      </c>
      <c r="E60" s="159">
        <v>87983.5</v>
      </c>
      <c r="F60" s="159">
        <v>87081.4</v>
      </c>
      <c r="G60" s="159">
        <v>100449.9</v>
      </c>
      <c r="H60" s="230">
        <f t="shared" si="1"/>
        <v>89866.95</v>
      </c>
      <c r="I60" s="160">
        <f t="shared" si="4"/>
        <v>617.30147058823525</v>
      </c>
      <c r="J60" s="160">
        <f t="shared" si="4"/>
        <v>610.99652777777783</v>
      </c>
      <c r="K60" s="160">
        <f t="shared" si="4"/>
        <v>494.78068181818179</v>
      </c>
      <c r="L60" s="160">
        <f t="shared" si="4"/>
        <v>627.81187499999999</v>
      </c>
      <c r="P60" s="161">
        <f t="shared" si="3"/>
        <v>765.21487571245552</v>
      </c>
    </row>
    <row r="61" spans="2:16" ht="12.75" customHeight="1" x14ac:dyDescent="0.25">
      <c r="C61" s="156" t="s">
        <v>594</v>
      </c>
      <c r="D61" s="159">
        <v>62420.800000000003</v>
      </c>
      <c r="E61" s="159">
        <v>65181.3</v>
      </c>
      <c r="F61" s="159">
        <v>75411.899999999994</v>
      </c>
      <c r="G61" s="159">
        <v>73706.8</v>
      </c>
      <c r="H61" s="230">
        <f t="shared" si="1"/>
        <v>69180.2</v>
      </c>
      <c r="I61" s="160">
        <f t="shared" si="4"/>
        <v>458.97647058823532</v>
      </c>
      <c r="J61" s="160">
        <f t="shared" si="4"/>
        <v>452.64791666666667</v>
      </c>
      <c r="K61" s="160">
        <f t="shared" si="4"/>
        <v>428.47670454545454</v>
      </c>
      <c r="L61" s="160">
        <f t="shared" si="4"/>
        <v>460.66750000000002</v>
      </c>
      <c r="P61" s="161">
        <f t="shared" si="3"/>
        <v>586.15017663101605</v>
      </c>
    </row>
    <row r="62" spans="2:16" ht="12.75" customHeight="1" x14ac:dyDescent="0.25">
      <c r="C62" s="156" t="s">
        <v>595</v>
      </c>
      <c r="D62" s="159">
        <v>77990.2</v>
      </c>
      <c r="E62" s="159">
        <v>70364.7</v>
      </c>
      <c r="F62" s="159">
        <v>85440.6</v>
      </c>
      <c r="G62" s="159">
        <v>91227.9</v>
      </c>
      <c r="H62" s="230">
        <f t="shared" si="1"/>
        <v>81255.850000000006</v>
      </c>
      <c r="I62" s="160">
        <f t="shared" si="4"/>
        <v>573.4573529411764</v>
      </c>
      <c r="J62" s="160">
        <f t="shared" si="4"/>
        <v>488.64374999999995</v>
      </c>
      <c r="K62" s="160">
        <f t="shared" si="4"/>
        <v>485.45795454545458</v>
      </c>
      <c r="L62" s="160">
        <f t="shared" si="4"/>
        <v>570.17437499999994</v>
      </c>
      <c r="P62" s="161">
        <f t="shared" si="3"/>
        <v>689.3222322743984</v>
      </c>
    </row>
    <row r="63" spans="2:16" ht="12.75" customHeight="1" x14ac:dyDescent="0.25">
      <c r="C63" s="156" t="s">
        <v>596</v>
      </c>
      <c r="D63" s="159">
        <v>67107.5</v>
      </c>
      <c r="E63" s="159">
        <v>69701.3</v>
      </c>
      <c r="F63" s="159">
        <v>73592.3</v>
      </c>
      <c r="G63" s="162">
        <v>81494</v>
      </c>
      <c r="H63" s="230">
        <f t="shared" si="1"/>
        <v>72973.774999999994</v>
      </c>
      <c r="I63" s="160">
        <f t="shared" si="4"/>
        <v>493.4375</v>
      </c>
      <c r="J63" s="160">
        <f t="shared" si="4"/>
        <v>484.03680555555559</v>
      </c>
      <c r="K63" s="160">
        <f t="shared" si="4"/>
        <v>418.1380681818182</v>
      </c>
      <c r="L63" s="160">
        <f t="shared" si="4"/>
        <v>509.33749999999998</v>
      </c>
      <c r="P63" s="161">
        <f t="shared" si="3"/>
        <v>620.06118390151516</v>
      </c>
    </row>
    <row r="64" spans="2:16" ht="12.75" customHeight="1" x14ac:dyDescent="0.25">
      <c r="C64" s="156" t="s">
        <v>597</v>
      </c>
      <c r="D64" s="159">
        <v>56518.400000000001</v>
      </c>
      <c r="E64" s="159">
        <v>61272.2</v>
      </c>
      <c r="F64" s="162">
        <v>64957</v>
      </c>
      <c r="G64" s="162">
        <v>67141</v>
      </c>
      <c r="H64" s="230">
        <f t="shared" si="1"/>
        <v>62472.15</v>
      </c>
      <c r="I64" s="160">
        <f t="shared" si="4"/>
        <v>415.57647058823528</v>
      </c>
      <c r="J64" s="160">
        <f t="shared" si="4"/>
        <v>425.50138888888887</v>
      </c>
      <c r="K64" s="160">
        <f t="shared" si="4"/>
        <v>369.07386363636363</v>
      </c>
      <c r="L64" s="160">
        <f t="shared" si="4"/>
        <v>419.63125000000002</v>
      </c>
      <c r="P64" s="161">
        <f t="shared" si="3"/>
        <v>530.49435774844017</v>
      </c>
    </row>
    <row r="65" spans="2:16" ht="12.75" customHeight="1" x14ac:dyDescent="0.25">
      <c r="B65" s="156" t="s">
        <v>598</v>
      </c>
      <c r="C65" s="156" t="s">
        <v>599</v>
      </c>
      <c r="D65" s="159">
        <v>94665.3</v>
      </c>
      <c r="E65" s="159">
        <v>100803.3</v>
      </c>
      <c r="F65" s="159">
        <v>182859.8</v>
      </c>
      <c r="G65" s="159">
        <v>97284.1</v>
      </c>
      <c r="H65" s="230">
        <f t="shared" si="1"/>
        <v>118903.125</v>
      </c>
      <c r="I65" s="160">
        <f t="shared" si="4"/>
        <v>696.06838235294117</v>
      </c>
      <c r="J65" s="160">
        <f t="shared" si="4"/>
        <v>700.02291666666667</v>
      </c>
      <c r="K65" s="160">
        <f t="shared" si="4"/>
        <v>1038.9761363636362</v>
      </c>
      <c r="L65" s="160">
        <f t="shared" si="4"/>
        <v>608.02562499999999</v>
      </c>
      <c r="P65" s="161">
        <f t="shared" si="3"/>
        <v>990.52679115474598</v>
      </c>
    </row>
    <row r="66" spans="2:16" ht="12.75" customHeight="1" x14ac:dyDescent="0.25">
      <c r="C66" s="156" t="s">
        <v>600</v>
      </c>
      <c r="D66" s="159">
        <v>83196.600000000006</v>
      </c>
      <c r="E66" s="159">
        <v>97746.9</v>
      </c>
      <c r="F66" s="159">
        <v>101614.9</v>
      </c>
      <c r="G66" s="159">
        <v>97639.1</v>
      </c>
      <c r="H66" s="230">
        <f t="shared" si="1"/>
        <v>95049.375</v>
      </c>
      <c r="I66" s="160">
        <f t="shared" si="4"/>
        <v>611.73970588235295</v>
      </c>
      <c r="J66" s="160">
        <f t="shared" si="4"/>
        <v>678.79791666666665</v>
      </c>
      <c r="K66" s="160">
        <f t="shared" si="4"/>
        <v>577.35738636363635</v>
      </c>
      <c r="L66" s="160">
        <f t="shared" si="4"/>
        <v>610.24437499999999</v>
      </c>
      <c r="P66" s="161">
        <f t="shared" si="3"/>
        <v>806.63436946356956</v>
      </c>
    </row>
    <row r="67" spans="2:16" ht="12.75" customHeight="1" x14ac:dyDescent="0.25">
      <c r="B67" s="156" t="s">
        <v>601</v>
      </c>
      <c r="C67" s="156" t="s">
        <v>602</v>
      </c>
      <c r="D67" s="159">
        <v>55723.4</v>
      </c>
      <c r="E67" s="159">
        <v>56616.800000000003</v>
      </c>
      <c r="F67" s="159">
        <v>62232.6</v>
      </c>
      <c r="G67" s="159">
        <v>63377.4</v>
      </c>
      <c r="H67" s="230">
        <f t="shared" si="1"/>
        <v>59487.55</v>
      </c>
      <c r="I67" s="160">
        <f t="shared" si="4"/>
        <v>409.73088235294119</v>
      </c>
      <c r="J67" s="160">
        <f t="shared" si="4"/>
        <v>393.17222222222222</v>
      </c>
      <c r="K67" s="160">
        <f t="shared" si="4"/>
        <v>353.59431818181815</v>
      </c>
      <c r="L67" s="160">
        <f t="shared" si="4"/>
        <v>396.10874999999999</v>
      </c>
      <c r="P67" s="161">
        <f t="shared" si="3"/>
        <v>505.37330923239745</v>
      </c>
    </row>
    <row r="68" spans="2:16" ht="12.75" customHeight="1" x14ac:dyDescent="0.25">
      <c r="C68" s="156" t="s">
        <v>603</v>
      </c>
      <c r="D68" s="159">
        <v>50238.8</v>
      </c>
      <c r="E68" s="162">
        <v>50110</v>
      </c>
      <c r="F68" s="159">
        <v>61421.599999999999</v>
      </c>
      <c r="G68" s="159">
        <v>59819.3</v>
      </c>
      <c r="H68" s="230">
        <f t="shared" si="1"/>
        <v>55397.425000000003</v>
      </c>
      <c r="I68" s="160">
        <f t="shared" si="4"/>
        <v>369.40294117647062</v>
      </c>
      <c r="J68" s="160">
        <f t="shared" si="4"/>
        <v>347.98611111111109</v>
      </c>
      <c r="K68" s="160">
        <f t="shared" si="4"/>
        <v>348.98636363636365</v>
      </c>
      <c r="L68" s="160">
        <f t="shared" si="4"/>
        <v>373.87062500000002</v>
      </c>
      <c r="P68" s="161">
        <f t="shared" si="3"/>
        <v>468.80008632074424</v>
      </c>
    </row>
    <row r="69" spans="2:16" ht="12.75" customHeight="1" x14ac:dyDescent="0.25">
      <c r="B69" s="156" t="s">
        <v>604</v>
      </c>
      <c r="C69" s="156" t="s">
        <v>605</v>
      </c>
      <c r="D69" s="162">
        <v>58310</v>
      </c>
      <c r="E69" s="159">
        <v>55843.5</v>
      </c>
      <c r="F69" s="159">
        <v>64586.3</v>
      </c>
      <c r="G69" s="159">
        <v>60000.2</v>
      </c>
      <c r="H69" s="230">
        <f t="shared" si="1"/>
        <v>59685</v>
      </c>
      <c r="I69" s="160">
        <f t="shared" si="4"/>
        <v>428.75</v>
      </c>
      <c r="J69" s="160">
        <f t="shared" si="4"/>
        <v>387.80208333333331</v>
      </c>
      <c r="K69" s="160">
        <f t="shared" si="4"/>
        <v>366.96761363636364</v>
      </c>
      <c r="L69" s="160">
        <f t="shared" si="4"/>
        <v>375.00124999999997</v>
      </c>
      <c r="P69" s="161">
        <f t="shared" si="3"/>
        <v>507.29856823863639</v>
      </c>
    </row>
    <row r="70" spans="2:16" ht="12.75" customHeight="1" x14ac:dyDescent="0.25">
      <c r="C70" s="156" t="s">
        <v>606</v>
      </c>
      <c r="D70" s="159">
        <v>57305.3</v>
      </c>
      <c r="E70" s="159">
        <v>60191.4</v>
      </c>
      <c r="F70" s="159">
        <v>62834.400000000001</v>
      </c>
      <c r="G70" s="159">
        <v>63751.6</v>
      </c>
      <c r="H70" s="230">
        <f t="shared" si="1"/>
        <v>61020.675000000003</v>
      </c>
      <c r="I70" s="160">
        <f t="shared" si="4"/>
        <v>421.36250000000001</v>
      </c>
      <c r="J70" s="160">
        <f t="shared" si="4"/>
        <v>417.99583333333334</v>
      </c>
      <c r="K70" s="160">
        <f t="shared" si="4"/>
        <v>357.01363636363635</v>
      </c>
      <c r="L70" s="160">
        <f t="shared" si="4"/>
        <v>398.44749999999999</v>
      </c>
      <c r="P70" s="161">
        <f t="shared" si="3"/>
        <v>519.11373738636371</v>
      </c>
    </row>
    <row r="71" spans="2:16" ht="12.75" customHeight="1" x14ac:dyDescent="0.25">
      <c r="C71" s="156" t="s">
        <v>607</v>
      </c>
      <c r="D71" s="159">
        <v>51404.4</v>
      </c>
      <c r="E71" s="159">
        <v>49227.199999999997</v>
      </c>
      <c r="F71" s="159">
        <v>54867.9</v>
      </c>
      <c r="G71" s="159">
        <v>53232.6</v>
      </c>
      <c r="H71" s="230">
        <f t="shared" ref="H71:H134" si="5">AVERAGE(D71:G71)</f>
        <v>52183.025000000001</v>
      </c>
      <c r="I71" s="160">
        <f t="shared" si="4"/>
        <v>377.97352941176473</v>
      </c>
      <c r="J71" s="160">
        <f t="shared" si="4"/>
        <v>341.85555555555555</v>
      </c>
      <c r="K71" s="160">
        <f t="shared" si="4"/>
        <v>311.74943181818185</v>
      </c>
      <c r="L71" s="160">
        <f t="shared" si="4"/>
        <v>332.70375000000001</v>
      </c>
      <c r="P71" s="161">
        <f t="shared" ref="P71:P134" si="6">AVERAGE(I71:L71)*1.302</f>
        <v>444.07387783868097</v>
      </c>
    </row>
    <row r="72" spans="2:16" ht="12.75" customHeight="1" x14ac:dyDescent="0.25">
      <c r="C72" s="156" t="s">
        <v>608</v>
      </c>
      <c r="D72" s="159">
        <v>64293.9</v>
      </c>
      <c r="E72" s="162">
        <v>61639</v>
      </c>
      <c r="F72" s="159">
        <v>63626.6</v>
      </c>
      <c r="G72" s="159">
        <v>64817.3</v>
      </c>
      <c r="H72" s="230">
        <f t="shared" si="5"/>
        <v>63594.2</v>
      </c>
      <c r="I72" s="160">
        <f t="shared" si="4"/>
        <v>472.74926470588235</v>
      </c>
      <c r="J72" s="160">
        <f t="shared" si="4"/>
        <v>428.04861111111109</v>
      </c>
      <c r="K72" s="160">
        <f t="shared" si="4"/>
        <v>361.51477272727271</v>
      </c>
      <c r="L72" s="160">
        <f t="shared" si="4"/>
        <v>405.10812500000003</v>
      </c>
      <c r="P72" s="161">
        <f t="shared" si="6"/>
        <v>542.74546178865864</v>
      </c>
    </row>
    <row r="73" spans="2:16" ht="12.75" customHeight="1" x14ac:dyDescent="0.25">
      <c r="C73" s="156" t="s">
        <v>609</v>
      </c>
      <c r="D73" s="162">
        <v>67273</v>
      </c>
      <c r="E73" s="159">
        <v>65839.899999999994</v>
      </c>
      <c r="F73" s="159">
        <v>69247.8</v>
      </c>
      <c r="G73" s="159">
        <v>82642.8</v>
      </c>
      <c r="H73" s="230">
        <f t="shared" si="5"/>
        <v>71250.875</v>
      </c>
      <c r="I73" s="160">
        <f t="shared" si="4"/>
        <v>494.65441176470586</v>
      </c>
      <c r="J73" s="160">
        <f t="shared" si="4"/>
        <v>457.22152777777774</v>
      </c>
      <c r="K73" s="160">
        <f t="shared" si="4"/>
        <v>393.45340909090913</v>
      </c>
      <c r="L73" s="160">
        <f t="shared" si="4"/>
        <v>516.51750000000004</v>
      </c>
      <c r="P73" s="161">
        <f t="shared" si="6"/>
        <v>606.03114923016938</v>
      </c>
    </row>
    <row r="74" spans="2:16" ht="12.75" customHeight="1" x14ac:dyDescent="0.25">
      <c r="C74" s="156" t="s">
        <v>610</v>
      </c>
      <c r="D74" s="159">
        <v>46700.7</v>
      </c>
      <c r="E74" s="159">
        <v>49704.1</v>
      </c>
      <c r="F74" s="159">
        <v>56255.1</v>
      </c>
      <c r="G74" s="159">
        <v>56684.2</v>
      </c>
      <c r="H74" s="230">
        <f t="shared" si="5"/>
        <v>52336.024999999994</v>
      </c>
      <c r="I74" s="160">
        <f t="shared" si="4"/>
        <v>343.38749999999999</v>
      </c>
      <c r="J74" s="160">
        <f t="shared" si="4"/>
        <v>345.16736111111112</v>
      </c>
      <c r="K74" s="160">
        <f t="shared" si="4"/>
        <v>319.63124999999997</v>
      </c>
      <c r="L74" s="160">
        <f t="shared" si="4"/>
        <v>354.27625</v>
      </c>
      <c r="P74" s="161">
        <f t="shared" si="6"/>
        <v>443.48149854166667</v>
      </c>
    </row>
    <row r="75" spans="2:16" ht="12.75" customHeight="1" x14ac:dyDescent="0.25">
      <c r="C75" s="156" t="s">
        <v>611</v>
      </c>
      <c r="D75" s="159">
        <v>41519.5</v>
      </c>
      <c r="E75" s="159">
        <v>42629.4</v>
      </c>
      <c r="F75" s="159">
        <v>48272.3</v>
      </c>
      <c r="G75" s="159">
        <v>44102.9</v>
      </c>
      <c r="H75" s="230">
        <f t="shared" si="5"/>
        <v>44131.025000000001</v>
      </c>
      <c r="I75" s="160">
        <f t="shared" si="4"/>
        <v>305.29044117647061</v>
      </c>
      <c r="J75" s="160">
        <f t="shared" si="4"/>
        <v>296.03750000000002</v>
      </c>
      <c r="K75" s="160">
        <f t="shared" si="4"/>
        <v>274.27443181818182</v>
      </c>
      <c r="L75" s="160">
        <f t="shared" si="4"/>
        <v>275.643125</v>
      </c>
      <c r="P75" s="161">
        <f t="shared" si="6"/>
        <v>374.73040959725938</v>
      </c>
    </row>
    <row r="76" spans="2:16" ht="12.75" customHeight="1" x14ac:dyDescent="0.25">
      <c r="C76" s="156" t="s">
        <v>612</v>
      </c>
      <c r="D76" s="159">
        <v>58985.3</v>
      </c>
      <c r="E76" s="159">
        <v>60065.599999999999</v>
      </c>
      <c r="F76" s="159">
        <v>70392.5</v>
      </c>
      <c r="G76" s="159">
        <v>68072.5</v>
      </c>
      <c r="H76" s="230">
        <f t="shared" si="5"/>
        <v>64378.974999999999</v>
      </c>
      <c r="I76" s="160">
        <f t="shared" si="4"/>
        <v>433.71544117647062</v>
      </c>
      <c r="J76" s="160">
        <f t="shared" si="4"/>
        <v>417.12222222222221</v>
      </c>
      <c r="K76" s="160">
        <f t="shared" si="4"/>
        <v>399.95738636363637</v>
      </c>
      <c r="L76" s="160">
        <f t="shared" si="4"/>
        <v>425.453125</v>
      </c>
      <c r="P76" s="161">
        <f t="shared" si="6"/>
        <v>545.61878088513822</v>
      </c>
    </row>
    <row r="77" spans="2:16" ht="12.75" customHeight="1" x14ac:dyDescent="0.25">
      <c r="B77" s="156" t="s">
        <v>613</v>
      </c>
      <c r="C77" s="156" t="s">
        <v>614</v>
      </c>
      <c r="D77" s="159">
        <v>72814.100000000006</v>
      </c>
      <c r="E77" s="162">
        <v>74542</v>
      </c>
      <c r="F77" s="159">
        <v>86964.9</v>
      </c>
      <c r="G77" s="159">
        <v>74570.7</v>
      </c>
      <c r="H77" s="230">
        <f t="shared" si="5"/>
        <v>77222.925000000003</v>
      </c>
      <c r="I77" s="160">
        <f t="shared" si="4"/>
        <v>535.39779411764709</v>
      </c>
      <c r="J77" s="160">
        <f t="shared" si="4"/>
        <v>517.65277777777783</v>
      </c>
      <c r="K77" s="160">
        <f t="shared" si="4"/>
        <v>494.11874999999998</v>
      </c>
      <c r="L77" s="160">
        <f t="shared" si="4"/>
        <v>466.06687499999998</v>
      </c>
      <c r="P77" s="161">
        <f t="shared" si="6"/>
        <v>655.30838208946091</v>
      </c>
    </row>
    <row r="78" spans="2:16" ht="12.75" customHeight="1" x14ac:dyDescent="0.25">
      <c r="C78" s="156" t="s">
        <v>615</v>
      </c>
      <c r="D78" s="159">
        <v>82882.100000000006</v>
      </c>
      <c r="E78" s="159">
        <v>70635.3</v>
      </c>
      <c r="F78" s="159">
        <v>75161.3</v>
      </c>
      <c r="G78" s="159">
        <v>71547.7</v>
      </c>
      <c r="H78" s="230">
        <f t="shared" si="5"/>
        <v>75056.600000000006</v>
      </c>
      <c r="I78" s="160">
        <f t="shared" si="4"/>
        <v>609.42720588235295</v>
      </c>
      <c r="J78" s="160">
        <f t="shared" si="4"/>
        <v>490.52291666666667</v>
      </c>
      <c r="K78" s="160">
        <f t="shared" si="4"/>
        <v>427.05284090909095</v>
      </c>
      <c r="L78" s="160">
        <f t="shared" si="4"/>
        <v>447.17312499999997</v>
      </c>
      <c r="P78" s="161">
        <f t="shared" si="6"/>
        <v>642.59431679311501</v>
      </c>
    </row>
    <row r="79" spans="2:16" ht="12.75" customHeight="1" x14ac:dyDescent="0.25">
      <c r="C79" s="156" t="s">
        <v>616</v>
      </c>
      <c r="D79" s="159">
        <v>57537.2</v>
      </c>
      <c r="E79" s="162">
        <v>58225</v>
      </c>
      <c r="F79" s="159">
        <v>60669.8</v>
      </c>
      <c r="G79" s="159">
        <v>63643.4</v>
      </c>
      <c r="H79" s="230">
        <f t="shared" si="5"/>
        <v>60018.85</v>
      </c>
      <c r="I79" s="160">
        <f t="shared" si="4"/>
        <v>423.06764705882352</v>
      </c>
      <c r="J79" s="160">
        <f t="shared" si="4"/>
        <v>404.34027777777777</v>
      </c>
      <c r="K79" s="160">
        <f t="shared" si="4"/>
        <v>344.71477272727276</v>
      </c>
      <c r="L79" s="160">
        <f t="shared" si="4"/>
        <v>397.77125000000001</v>
      </c>
      <c r="P79" s="161">
        <f t="shared" si="6"/>
        <v>511.000479932041</v>
      </c>
    </row>
    <row r="80" spans="2:16" ht="12.75" customHeight="1" x14ac:dyDescent="0.25">
      <c r="C80" s="156" t="s">
        <v>617</v>
      </c>
      <c r="D80" s="159">
        <v>93624.1</v>
      </c>
      <c r="E80" s="159">
        <v>87779.3</v>
      </c>
      <c r="F80" s="159">
        <v>94693.5</v>
      </c>
      <c r="G80" s="159">
        <v>127796.5</v>
      </c>
      <c r="H80" s="230">
        <f t="shared" si="5"/>
        <v>100973.35</v>
      </c>
      <c r="I80" s="160">
        <f t="shared" si="4"/>
        <v>688.41250000000002</v>
      </c>
      <c r="J80" s="160">
        <f t="shared" si="4"/>
        <v>609.57847222222222</v>
      </c>
      <c r="K80" s="160">
        <f t="shared" si="4"/>
        <v>538.03125</v>
      </c>
      <c r="L80" s="160">
        <f t="shared" si="4"/>
        <v>798.72812499999998</v>
      </c>
      <c r="P80" s="161">
        <f t="shared" si="6"/>
        <v>857.61123802083341</v>
      </c>
    </row>
    <row r="81" spans="2:16" ht="12.75" customHeight="1" x14ac:dyDescent="0.25">
      <c r="C81" s="156" t="s">
        <v>618</v>
      </c>
      <c r="D81" s="159">
        <v>53905.599999999999</v>
      </c>
      <c r="E81" s="159">
        <v>54874.9</v>
      </c>
      <c r="F81" s="159">
        <v>59726.1</v>
      </c>
      <c r="G81" s="159">
        <v>61876.2</v>
      </c>
      <c r="H81" s="230">
        <f t="shared" si="5"/>
        <v>57595.7</v>
      </c>
      <c r="I81" s="160">
        <f t="shared" si="4"/>
        <v>396.36470588235295</v>
      </c>
      <c r="J81" s="160">
        <f t="shared" si="4"/>
        <v>381.07569444444448</v>
      </c>
      <c r="K81" s="160">
        <f t="shared" si="4"/>
        <v>339.3528409090909</v>
      </c>
      <c r="L81" s="160">
        <f t="shared" si="4"/>
        <v>386.72624999999999</v>
      </c>
      <c r="P81" s="161">
        <f t="shared" si="6"/>
        <v>489.39559439728163</v>
      </c>
    </row>
    <row r="82" spans="2:16" ht="12.75" customHeight="1" x14ac:dyDescent="0.25">
      <c r="B82" s="156" t="s">
        <v>619</v>
      </c>
      <c r="C82" s="156" t="s">
        <v>620</v>
      </c>
      <c r="D82" s="159">
        <v>49595.6</v>
      </c>
      <c r="E82" s="162">
        <v>50967</v>
      </c>
      <c r="F82" s="159">
        <v>56354.1</v>
      </c>
      <c r="G82" s="159">
        <v>55035.6</v>
      </c>
      <c r="H82" s="230">
        <f t="shared" si="5"/>
        <v>52988.075000000004</v>
      </c>
      <c r="I82" s="160">
        <f t="shared" si="4"/>
        <v>364.67352941176472</v>
      </c>
      <c r="J82" s="160">
        <f t="shared" si="4"/>
        <v>353.9375</v>
      </c>
      <c r="K82" s="160">
        <f t="shared" si="4"/>
        <v>320.19374999999997</v>
      </c>
      <c r="L82" s="160">
        <f t="shared" si="4"/>
        <v>343.97249999999997</v>
      </c>
      <c r="P82" s="161">
        <f t="shared" si="6"/>
        <v>450.09400444852935</v>
      </c>
    </row>
    <row r="83" spans="2:16" ht="12.75" customHeight="1" x14ac:dyDescent="0.25">
      <c r="C83" s="156" t="s">
        <v>621</v>
      </c>
      <c r="D83" s="159">
        <v>49602.400000000001</v>
      </c>
      <c r="E83" s="159">
        <v>50997.9</v>
      </c>
      <c r="F83" s="162">
        <v>54984</v>
      </c>
      <c r="G83" s="159">
        <v>59583.8</v>
      </c>
      <c r="H83" s="230">
        <f t="shared" si="5"/>
        <v>53792.024999999994</v>
      </c>
      <c r="I83" s="160">
        <f t="shared" si="4"/>
        <v>364.72352941176473</v>
      </c>
      <c r="J83" s="160">
        <f t="shared" si="4"/>
        <v>354.15208333333334</v>
      </c>
      <c r="K83" s="160">
        <f t="shared" si="4"/>
        <v>312.40909090909093</v>
      </c>
      <c r="L83" s="160">
        <f t="shared" si="4"/>
        <v>372.39875000000001</v>
      </c>
      <c r="P83" s="161">
        <f t="shared" si="6"/>
        <v>456.89896416443861</v>
      </c>
    </row>
    <row r="84" spans="2:16" ht="12.75" customHeight="1" x14ac:dyDescent="0.25">
      <c r="C84" s="156" t="s">
        <v>622</v>
      </c>
      <c r="D84" s="159">
        <v>101829.9</v>
      </c>
      <c r="E84" s="159">
        <v>75857.399999999994</v>
      </c>
      <c r="F84" s="159">
        <v>83543.899999999994</v>
      </c>
      <c r="G84" s="159">
        <v>95055.8</v>
      </c>
      <c r="H84" s="230">
        <f t="shared" si="5"/>
        <v>89071.75</v>
      </c>
      <c r="I84" s="160">
        <f t="shared" si="4"/>
        <v>748.7492647058823</v>
      </c>
      <c r="J84" s="160">
        <f t="shared" si="4"/>
        <v>526.78749999999991</v>
      </c>
      <c r="K84" s="160">
        <f t="shared" si="4"/>
        <v>474.68124999999998</v>
      </c>
      <c r="L84" s="160">
        <f t="shared" si="4"/>
        <v>594.09875</v>
      </c>
      <c r="P84" s="161">
        <f t="shared" si="6"/>
        <v>763.07510691176469</v>
      </c>
    </row>
    <row r="85" spans="2:16" ht="12.75" customHeight="1" x14ac:dyDescent="0.25">
      <c r="C85" s="156" t="s">
        <v>623</v>
      </c>
      <c r="D85" s="159">
        <v>56949.1</v>
      </c>
      <c r="E85" s="159">
        <v>58212.800000000003</v>
      </c>
      <c r="F85" s="159">
        <v>61959.7</v>
      </c>
      <c r="G85" s="159">
        <v>67345.3</v>
      </c>
      <c r="H85" s="230">
        <f t="shared" si="5"/>
        <v>61116.724999999991</v>
      </c>
      <c r="I85" s="160">
        <f t="shared" si="4"/>
        <v>418.74338235294118</v>
      </c>
      <c r="J85" s="160">
        <f t="shared" si="4"/>
        <v>404.25555555555559</v>
      </c>
      <c r="K85" s="160">
        <f t="shared" si="4"/>
        <v>352.04374999999999</v>
      </c>
      <c r="L85" s="160">
        <f t="shared" si="4"/>
        <v>420.90812500000004</v>
      </c>
      <c r="P85" s="161">
        <f t="shared" si="6"/>
        <v>519.48198960171578</v>
      </c>
    </row>
    <row r="86" spans="2:16" ht="12.75" customHeight="1" x14ac:dyDescent="0.25">
      <c r="C86" s="156" t="s">
        <v>624</v>
      </c>
      <c r="D86" s="159">
        <v>55967.5</v>
      </c>
      <c r="E86" s="159">
        <v>55140.800000000003</v>
      </c>
      <c r="F86" s="162">
        <v>58278</v>
      </c>
      <c r="G86" s="162">
        <v>60519</v>
      </c>
      <c r="H86" s="230">
        <f t="shared" si="5"/>
        <v>57476.324999999997</v>
      </c>
      <c r="I86" s="160">
        <f t="shared" si="4"/>
        <v>411.52573529411762</v>
      </c>
      <c r="J86" s="160">
        <f t="shared" si="4"/>
        <v>382.92222222222222</v>
      </c>
      <c r="K86" s="160">
        <f t="shared" si="4"/>
        <v>331.125</v>
      </c>
      <c r="L86" s="160">
        <f t="shared" si="4"/>
        <v>378.24374999999998</v>
      </c>
      <c r="P86" s="161">
        <f t="shared" si="6"/>
        <v>489.49233829656856</v>
      </c>
    </row>
    <row r="87" spans="2:16" ht="12.75" customHeight="1" x14ac:dyDescent="0.25">
      <c r="C87" s="156" t="s">
        <v>625</v>
      </c>
      <c r="D87" s="159">
        <v>49395.3</v>
      </c>
      <c r="E87" s="159">
        <v>49929.9</v>
      </c>
      <c r="F87" s="159">
        <v>52055.6</v>
      </c>
      <c r="G87" s="159">
        <v>59083.7</v>
      </c>
      <c r="H87" s="230">
        <f t="shared" si="5"/>
        <v>52616.125</v>
      </c>
      <c r="I87" s="160">
        <f t="shared" si="4"/>
        <v>363.20073529411769</v>
      </c>
      <c r="J87" s="160">
        <f t="shared" si="4"/>
        <v>346.73541666666665</v>
      </c>
      <c r="K87" s="160">
        <f t="shared" si="4"/>
        <v>295.77045454545453</v>
      </c>
      <c r="L87" s="160">
        <f t="shared" si="4"/>
        <v>369.27312499999999</v>
      </c>
      <c r="P87" s="161">
        <f t="shared" si="6"/>
        <v>447.55590260528078</v>
      </c>
    </row>
    <row r="88" spans="2:16" ht="12.75" customHeight="1" x14ac:dyDescent="0.25">
      <c r="B88" s="156" t="s">
        <v>626</v>
      </c>
      <c r="C88" s="156" t="s">
        <v>627</v>
      </c>
      <c r="D88" s="159">
        <v>73846.600000000006</v>
      </c>
      <c r="E88" s="159">
        <v>71938.2</v>
      </c>
      <c r="F88" s="159">
        <v>84496.3</v>
      </c>
      <c r="G88" s="159">
        <v>84008.7</v>
      </c>
      <c r="H88" s="230">
        <f t="shared" si="5"/>
        <v>78572.45</v>
      </c>
      <c r="I88" s="160">
        <f t="shared" si="4"/>
        <v>542.98970588235295</v>
      </c>
      <c r="J88" s="160">
        <f t="shared" si="4"/>
        <v>499.57083333333333</v>
      </c>
      <c r="K88" s="160">
        <f t="shared" si="4"/>
        <v>480.09261363636364</v>
      </c>
      <c r="L88" s="160">
        <f t="shared" si="4"/>
        <v>525.05437499999994</v>
      </c>
      <c r="P88" s="161">
        <f t="shared" si="6"/>
        <v>666.52880031584232</v>
      </c>
    </row>
    <row r="89" spans="2:16" ht="12.75" customHeight="1" x14ac:dyDescent="0.25">
      <c r="C89" s="156" t="s">
        <v>628</v>
      </c>
      <c r="D89" s="159">
        <v>136842.1</v>
      </c>
      <c r="E89" s="159">
        <v>141327.79999999999</v>
      </c>
      <c r="F89" s="159">
        <v>196065.6</v>
      </c>
      <c r="G89" s="159">
        <v>155280.20000000001</v>
      </c>
      <c r="H89" s="230">
        <f t="shared" si="5"/>
        <v>157378.92499999999</v>
      </c>
      <c r="I89" s="160">
        <f t="shared" si="4"/>
        <v>1006.1919117647059</v>
      </c>
      <c r="J89" s="160">
        <f t="shared" si="4"/>
        <v>981.44305555555547</v>
      </c>
      <c r="K89" s="160">
        <f t="shared" si="4"/>
        <v>1114.0090909090909</v>
      </c>
      <c r="L89" s="160">
        <f t="shared" si="4"/>
        <v>970.50125000000003</v>
      </c>
      <c r="P89" s="161">
        <f t="shared" si="6"/>
        <v>1325.483297828654</v>
      </c>
    </row>
    <row r="90" spans="2:16" ht="12.75" customHeight="1" x14ac:dyDescent="0.25">
      <c r="C90" s="156" t="s">
        <v>629</v>
      </c>
      <c r="D90" s="162">
        <v>74308</v>
      </c>
      <c r="E90" s="159">
        <v>81840.800000000003</v>
      </c>
      <c r="F90" s="162">
        <v>76717</v>
      </c>
      <c r="G90" s="159">
        <v>78669.600000000006</v>
      </c>
      <c r="H90" s="230">
        <f t="shared" si="5"/>
        <v>77883.850000000006</v>
      </c>
      <c r="I90" s="160">
        <f t="shared" si="4"/>
        <v>546.38235294117646</v>
      </c>
      <c r="J90" s="160">
        <f t="shared" si="4"/>
        <v>568.33888888888896</v>
      </c>
      <c r="K90" s="160">
        <f t="shared" si="4"/>
        <v>435.89204545454544</v>
      </c>
      <c r="L90" s="160">
        <f t="shared" si="4"/>
        <v>491.68500000000006</v>
      </c>
      <c r="P90" s="161">
        <f t="shared" si="6"/>
        <v>664.76809251114094</v>
      </c>
    </row>
    <row r="91" spans="2:16" ht="12.75" customHeight="1" x14ac:dyDescent="0.25">
      <c r="C91" s="156" t="s">
        <v>630</v>
      </c>
      <c r="D91" s="162">
        <v>69260</v>
      </c>
      <c r="E91" s="159">
        <v>66706.600000000006</v>
      </c>
      <c r="F91" s="159">
        <v>69855.7</v>
      </c>
      <c r="G91" s="159">
        <v>64872.2</v>
      </c>
      <c r="H91" s="230">
        <f t="shared" si="5"/>
        <v>67673.625</v>
      </c>
      <c r="I91" s="160">
        <f t="shared" si="4"/>
        <v>509.26470588235293</v>
      </c>
      <c r="J91" s="160">
        <f t="shared" si="4"/>
        <v>463.24027777777781</v>
      </c>
      <c r="K91" s="160">
        <f t="shared" si="4"/>
        <v>396.90738636363636</v>
      </c>
      <c r="L91" s="160">
        <f t="shared" si="4"/>
        <v>405.45124999999996</v>
      </c>
      <c r="P91" s="161">
        <f t="shared" si="6"/>
        <v>577.71810831773621</v>
      </c>
    </row>
    <row r="92" spans="2:16" ht="12.75" customHeight="1" x14ac:dyDescent="0.25">
      <c r="C92" s="156" t="s">
        <v>631</v>
      </c>
      <c r="D92" s="159">
        <v>75481.899999999994</v>
      </c>
      <c r="E92" s="159">
        <v>76736.600000000006</v>
      </c>
      <c r="F92" s="159">
        <v>79223.100000000006</v>
      </c>
      <c r="G92" s="159">
        <v>81493.600000000006</v>
      </c>
      <c r="H92" s="230">
        <f t="shared" si="5"/>
        <v>78233.8</v>
      </c>
      <c r="I92" s="160">
        <f t="shared" si="4"/>
        <v>555.01397058823522</v>
      </c>
      <c r="J92" s="160">
        <f t="shared" si="4"/>
        <v>532.89305555555563</v>
      </c>
      <c r="K92" s="160">
        <f t="shared" si="4"/>
        <v>450.13125000000002</v>
      </c>
      <c r="L92" s="160">
        <f t="shared" si="4"/>
        <v>509.33500000000004</v>
      </c>
      <c r="P92" s="161">
        <f t="shared" si="6"/>
        <v>666.42000138480398</v>
      </c>
    </row>
    <row r="93" spans="2:16" ht="12.75" customHeight="1" x14ac:dyDescent="0.25">
      <c r="C93" s="156" t="s">
        <v>632</v>
      </c>
      <c r="D93" s="159">
        <v>76098.600000000006</v>
      </c>
      <c r="E93" s="159">
        <v>75258.3</v>
      </c>
      <c r="F93" s="159">
        <v>84211.4</v>
      </c>
      <c r="G93" s="159">
        <v>83868.800000000003</v>
      </c>
      <c r="H93" s="230">
        <f t="shared" si="5"/>
        <v>79859.275000000009</v>
      </c>
      <c r="I93" s="160">
        <f t="shared" si="4"/>
        <v>559.54852941176478</v>
      </c>
      <c r="J93" s="160">
        <f t="shared" si="4"/>
        <v>522.6270833333333</v>
      </c>
      <c r="K93" s="160">
        <f t="shared" si="4"/>
        <v>478.4738636363636</v>
      </c>
      <c r="L93" s="160">
        <f t="shared" si="4"/>
        <v>524.18000000000006</v>
      </c>
      <c r="P93" s="161">
        <f t="shared" si="6"/>
        <v>678.61199456216593</v>
      </c>
    </row>
    <row r="94" spans="2:16" ht="12.75" customHeight="1" x14ac:dyDescent="0.25">
      <c r="C94" s="156" t="s">
        <v>633</v>
      </c>
      <c r="D94" s="159">
        <v>75518.3</v>
      </c>
      <c r="E94" s="159">
        <v>75114.600000000006</v>
      </c>
      <c r="F94" s="159">
        <v>79965.899999999994</v>
      </c>
      <c r="G94" s="159">
        <v>87432.2</v>
      </c>
      <c r="H94" s="230">
        <f t="shared" si="5"/>
        <v>79507.75</v>
      </c>
      <c r="I94" s="160">
        <f t="shared" si="4"/>
        <v>555.28161764705885</v>
      </c>
      <c r="J94" s="160">
        <f t="shared" si="4"/>
        <v>521.62916666666672</v>
      </c>
      <c r="K94" s="160">
        <f t="shared" si="4"/>
        <v>454.35170454545454</v>
      </c>
      <c r="L94" s="160">
        <f t="shared" si="4"/>
        <v>546.45124999999996</v>
      </c>
      <c r="P94" s="161">
        <f t="shared" si="6"/>
        <v>676.29582199866309</v>
      </c>
    </row>
    <row r="95" spans="2:16" ht="12.75" customHeight="1" x14ac:dyDescent="0.25">
      <c r="C95" s="156" t="s">
        <v>634</v>
      </c>
      <c r="D95" s="159">
        <v>96819.1</v>
      </c>
      <c r="E95" s="159">
        <v>91927.1</v>
      </c>
      <c r="F95" s="162">
        <v>115572</v>
      </c>
      <c r="G95" s="159">
        <v>118101.5</v>
      </c>
      <c r="H95" s="230">
        <f t="shared" si="5"/>
        <v>105604.925</v>
      </c>
      <c r="I95" s="160">
        <f t="shared" si="4"/>
        <v>711.90514705882356</v>
      </c>
      <c r="J95" s="160">
        <f t="shared" si="4"/>
        <v>638.38263888888889</v>
      </c>
      <c r="K95" s="160">
        <f t="shared" si="4"/>
        <v>656.65909090909088</v>
      </c>
      <c r="L95" s="160">
        <f t="shared" si="4"/>
        <v>738.13437499999998</v>
      </c>
      <c r="P95" s="161">
        <f t="shared" si="6"/>
        <v>893.52394747938956</v>
      </c>
    </row>
    <row r="96" spans="2:16" ht="12.75" customHeight="1" x14ac:dyDescent="0.25">
      <c r="B96" s="156" t="s">
        <v>635</v>
      </c>
      <c r="C96" s="156" t="s">
        <v>636</v>
      </c>
      <c r="D96" s="159">
        <v>63612.6</v>
      </c>
      <c r="E96" s="159">
        <v>63794.1</v>
      </c>
      <c r="F96" s="159">
        <v>71341.899999999994</v>
      </c>
      <c r="G96" s="159">
        <v>69203.199999999997</v>
      </c>
      <c r="H96" s="230">
        <f t="shared" si="5"/>
        <v>66987.95</v>
      </c>
      <c r="I96" s="160">
        <f t="shared" si="4"/>
        <v>467.73970588235295</v>
      </c>
      <c r="J96" s="160">
        <f t="shared" si="4"/>
        <v>443.01458333333335</v>
      </c>
      <c r="K96" s="160">
        <f t="shared" si="4"/>
        <v>405.35170454545454</v>
      </c>
      <c r="L96" s="160">
        <f t="shared" si="4"/>
        <v>432.52</v>
      </c>
      <c r="P96" s="161">
        <f t="shared" si="6"/>
        <v>569.17776096925138</v>
      </c>
    </row>
    <row r="97" spans="2:16" ht="12.75" customHeight="1" x14ac:dyDescent="0.25">
      <c r="C97" s="156" t="s">
        <v>637</v>
      </c>
      <c r="D97" s="159">
        <v>67935.399999999994</v>
      </c>
      <c r="E97" s="159">
        <v>63762.7</v>
      </c>
      <c r="F97" s="159">
        <v>76711.7</v>
      </c>
      <c r="G97" s="159">
        <v>62485.8</v>
      </c>
      <c r="H97" s="230">
        <f t="shared" si="5"/>
        <v>67723.899999999994</v>
      </c>
      <c r="I97" s="160">
        <f t="shared" si="4"/>
        <v>499.52499999999998</v>
      </c>
      <c r="J97" s="160">
        <f t="shared" si="4"/>
        <v>442.79652777777778</v>
      </c>
      <c r="K97" s="160">
        <f t="shared" si="4"/>
        <v>435.8619318181818</v>
      </c>
      <c r="L97" s="160">
        <f t="shared" si="4"/>
        <v>390.53625</v>
      </c>
      <c r="P97" s="161">
        <f t="shared" si="6"/>
        <v>575.71826547348485</v>
      </c>
    </row>
    <row r="98" spans="2:16" ht="12.75" customHeight="1" x14ac:dyDescent="0.25">
      <c r="C98" s="156" t="s">
        <v>638</v>
      </c>
      <c r="D98" s="159">
        <v>64210.1</v>
      </c>
      <c r="E98" s="159">
        <v>64657.3</v>
      </c>
      <c r="F98" s="159">
        <v>73895.399999999994</v>
      </c>
      <c r="G98" s="159">
        <v>72796.800000000003</v>
      </c>
      <c r="H98" s="230">
        <f t="shared" si="5"/>
        <v>68889.899999999994</v>
      </c>
      <c r="I98" s="160">
        <f t="shared" si="4"/>
        <v>472.13308823529411</v>
      </c>
      <c r="J98" s="160">
        <f t="shared" si="4"/>
        <v>449.00902777777782</v>
      </c>
      <c r="K98" s="160">
        <f t="shared" si="4"/>
        <v>419.86022727272723</v>
      </c>
      <c r="L98" s="160">
        <f t="shared" si="4"/>
        <v>454.98</v>
      </c>
      <c r="P98" s="161">
        <f t="shared" si="6"/>
        <v>584.59225273952768</v>
      </c>
    </row>
    <row r="99" spans="2:16" ht="12.75" customHeight="1" x14ac:dyDescent="0.25">
      <c r="C99" s="156" t="s">
        <v>639</v>
      </c>
      <c r="D99" s="159">
        <v>53507.4</v>
      </c>
      <c r="E99" s="159">
        <v>49539.6</v>
      </c>
      <c r="F99" s="159">
        <v>62418.7</v>
      </c>
      <c r="G99" s="159">
        <v>63961.2</v>
      </c>
      <c r="H99" s="230">
        <f t="shared" si="5"/>
        <v>57356.725000000006</v>
      </c>
      <c r="I99" s="160">
        <f t="shared" si="4"/>
        <v>393.43676470588235</v>
      </c>
      <c r="J99" s="160">
        <f t="shared" si="4"/>
        <v>344.02499999999998</v>
      </c>
      <c r="K99" s="160">
        <f t="shared" si="4"/>
        <v>354.65170454545455</v>
      </c>
      <c r="L99" s="160">
        <f t="shared" si="4"/>
        <v>399.75749999999999</v>
      </c>
      <c r="P99" s="161">
        <f t="shared" si="6"/>
        <v>485.60400049131016</v>
      </c>
    </row>
    <row r="100" spans="2:16" ht="12.75" customHeight="1" x14ac:dyDescent="0.25">
      <c r="C100" s="156" t="s">
        <v>640</v>
      </c>
      <c r="D100" s="159">
        <v>57186.5</v>
      </c>
      <c r="E100" s="159">
        <v>53731.9</v>
      </c>
      <c r="F100" s="159">
        <v>56687.1</v>
      </c>
      <c r="G100" s="159">
        <v>62721.599999999999</v>
      </c>
      <c r="H100" s="230">
        <f t="shared" si="5"/>
        <v>57581.775000000001</v>
      </c>
      <c r="I100" s="160">
        <f t="shared" si="4"/>
        <v>420.4889705882353</v>
      </c>
      <c r="J100" s="160">
        <f t="shared" si="4"/>
        <v>373.13819444444448</v>
      </c>
      <c r="K100" s="160">
        <f t="shared" si="4"/>
        <v>322.08579545454546</v>
      </c>
      <c r="L100" s="160">
        <f t="shared" si="4"/>
        <v>392.01</v>
      </c>
      <c r="P100" s="161">
        <f t="shared" si="6"/>
        <v>490.76382363859182</v>
      </c>
    </row>
    <row r="101" spans="2:16" ht="12.75" customHeight="1" x14ac:dyDescent="0.25">
      <c r="C101" s="156" t="s">
        <v>641</v>
      </c>
      <c r="D101" s="159">
        <v>68473.399999999994</v>
      </c>
      <c r="E101" s="159">
        <v>71038.8</v>
      </c>
      <c r="F101" s="159">
        <v>78489.600000000006</v>
      </c>
      <c r="G101" s="159">
        <v>76026.7</v>
      </c>
      <c r="H101" s="230">
        <f t="shared" si="5"/>
        <v>73507.125</v>
      </c>
      <c r="I101" s="160">
        <f t="shared" si="4"/>
        <v>503.48088235294114</v>
      </c>
      <c r="J101" s="160">
        <f t="shared" si="4"/>
        <v>493.32500000000005</v>
      </c>
      <c r="K101" s="160">
        <f t="shared" si="4"/>
        <v>445.9636363636364</v>
      </c>
      <c r="L101" s="160">
        <f t="shared" si="4"/>
        <v>475.166875</v>
      </c>
      <c r="P101" s="161">
        <f t="shared" si="6"/>
        <v>624.28829615474604</v>
      </c>
    </row>
    <row r="102" spans="2:16" ht="12.75" customHeight="1" x14ac:dyDescent="0.25">
      <c r="B102" s="156" t="s">
        <v>642</v>
      </c>
      <c r="C102" s="156" t="s">
        <v>643</v>
      </c>
      <c r="D102" s="159">
        <v>69867.7</v>
      </c>
      <c r="E102" s="159">
        <v>68198.100000000006</v>
      </c>
      <c r="F102" s="159">
        <v>76800.2</v>
      </c>
      <c r="G102" s="159">
        <v>71474.7</v>
      </c>
      <c r="H102" s="230">
        <f t="shared" si="5"/>
        <v>71585.175000000003</v>
      </c>
      <c r="I102" s="160">
        <f t="shared" si="4"/>
        <v>513.73308823529408</v>
      </c>
      <c r="J102" s="160">
        <f t="shared" si="4"/>
        <v>473.59791666666672</v>
      </c>
      <c r="K102" s="160">
        <f t="shared" si="4"/>
        <v>436.36477272727274</v>
      </c>
      <c r="L102" s="160">
        <f t="shared" si="4"/>
        <v>446.71687499999996</v>
      </c>
      <c r="P102" s="161">
        <f t="shared" si="6"/>
        <v>608.81931843081554</v>
      </c>
    </row>
    <row r="103" spans="2:16" ht="12.75" customHeight="1" x14ac:dyDescent="0.25">
      <c r="C103" s="156" t="s">
        <v>644</v>
      </c>
      <c r="D103" s="159">
        <v>61166.8</v>
      </c>
      <c r="E103" s="162">
        <v>61177</v>
      </c>
      <c r="F103" s="159">
        <v>67011.3</v>
      </c>
      <c r="G103" s="159">
        <v>70526.100000000006</v>
      </c>
      <c r="H103" s="230">
        <f t="shared" si="5"/>
        <v>64970.3</v>
      </c>
      <c r="I103" s="160">
        <f t="shared" si="4"/>
        <v>449.75588235294117</v>
      </c>
      <c r="J103" s="160">
        <f t="shared" si="4"/>
        <v>424.84027777777777</v>
      </c>
      <c r="K103" s="160">
        <f t="shared" si="4"/>
        <v>380.74602272727276</v>
      </c>
      <c r="L103" s="160">
        <f t="shared" si="4"/>
        <v>440.78812500000004</v>
      </c>
      <c r="P103" s="161">
        <f t="shared" si="6"/>
        <v>552.09041520777635</v>
      </c>
    </row>
    <row r="104" spans="2:16" ht="12.75" customHeight="1" x14ac:dyDescent="0.25">
      <c r="C104" s="156" t="s">
        <v>645</v>
      </c>
      <c r="D104" s="159">
        <v>63019.199999999997</v>
      </c>
      <c r="E104" s="159">
        <v>61715.1</v>
      </c>
      <c r="F104" s="159">
        <v>67650.5</v>
      </c>
      <c r="G104" s="159">
        <v>67240.3</v>
      </c>
      <c r="H104" s="230">
        <f t="shared" si="5"/>
        <v>64906.274999999994</v>
      </c>
      <c r="I104" s="160">
        <f t="shared" si="4"/>
        <v>463.37647058823529</v>
      </c>
      <c r="J104" s="160">
        <f t="shared" si="4"/>
        <v>428.57708333333335</v>
      </c>
      <c r="K104" s="160">
        <f t="shared" si="4"/>
        <v>384.37784090909093</v>
      </c>
      <c r="L104" s="160">
        <f t="shared" si="4"/>
        <v>420.25187500000004</v>
      </c>
      <c r="P104" s="161">
        <f t="shared" si="6"/>
        <v>552.23785432987972</v>
      </c>
    </row>
    <row r="105" spans="2:16" ht="12.75" customHeight="1" x14ac:dyDescent="0.25">
      <c r="C105" s="156" t="s">
        <v>646</v>
      </c>
      <c r="D105" s="162">
        <v>52555</v>
      </c>
      <c r="E105" s="159">
        <v>53200.800000000003</v>
      </c>
      <c r="F105" s="159">
        <v>58028.1</v>
      </c>
      <c r="G105" s="159">
        <v>56163.7</v>
      </c>
      <c r="H105" s="230">
        <f t="shared" si="5"/>
        <v>54986.899999999994</v>
      </c>
      <c r="I105" s="160">
        <f t="shared" ref="I105:L149" si="7">D105/I$5/8</f>
        <v>386.43382352941177</v>
      </c>
      <c r="J105" s="160">
        <f t="shared" si="7"/>
        <v>369.45000000000005</v>
      </c>
      <c r="K105" s="160">
        <f t="shared" si="7"/>
        <v>329.70511363636365</v>
      </c>
      <c r="L105" s="160">
        <f t="shared" si="7"/>
        <v>351.02312499999999</v>
      </c>
      <c r="P105" s="161">
        <f t="shared" si="6"/>
        <v>467.6172262349599</v>
      </c>
    </row>
    <row r="106" spans="2:16" ht="12.75" customHeight="1" x14ac:dyDescent="0.25">
      <c r="C106" s="156" t="s">
        <v>647</v>
      </c>
      <c r="D106" s="159">
        <v>65556.899999999994</v>
      </c>
      <c r="E106" s="159">
        <v>66296.5</v>
      </c>
      <c r="F106" s="159">
        <v>70304.2</v>
      </c>
      <c r="G106" s="159">
        <v>77349.3</v>
      </c>
      <c r="H106" s="230">
        <f t="shared" si="5"/>
        <v>69876.724999999991</v>
      </c>
      <c r="I106" s="160">
        <f t="shared" si="7"/>
        <v>482.03602941176467</v>
      </c>
      <c r="J106" s="160">
        <f t="shared" si="7"/>
        <v>460.39236111111109</v>
      </c>
      <c r="K106" s="160">
        <f t="shared" si="7"/>
        <v>399.4556818181818</v>
      </c>
      <c r="L106" s="160">
        <f t="shared" si="7"/>
        <v>483.43312500000002</v>
      </c>
      <c r="P106" s="161">
        <f t="shared" si="6"/>
        <v>594.14074773451432</v>
      </c>
    </row>
    <row r="107" spans="2:16" ht="12.75" customHeight="1" x14ac:dyDescent="0.25">
      <c r="B107" s="156" t="s">
        <v>648</v>
      </c>
      <c r="C107" s="156" t="s">
        <v>649</v>
      </c>
      <c r="D107" s="159">
        <v>63353.5</v>
      </c>
      <c r="E107" s="159">
        <v>65368.2</v>
      </c>
      <c r="F107" s="162">
        <v>68437</v>
      </c>
      <c r="G107" s="159">
        <v>69826.399999999994</v>
      </c>
      <c r="H107" s="230">
        <f t="shared" si="5"/>
        <v>66746.274999999994</v>
      </c>
      <c r="I107" s="160">
        <f t="shared" si="7"/>
        <v>465.83455882352939</v>
      </c>
      <c r="J107" s="160">
        <f t="shared" si="7"/>
        <v>453.94583333333333</v>
      </c>
      <c r="K107" s="160">
        <f t="shared" si="7"/>
        <v>388.84659090909093</v>
      </c>
      <c r="L107" s="160">
        <f t="shared" si="7"/>
        <v>436.41499999999996</v>
      </c>
      <c r="P107" s="161">
        <f t="shared" si="6"/>
        <v>568.0111654879679</v>
      </c>
    </row>
    <row r="108" spans="2:16" ht="12.75" customHeight="1" x14ac:dyDescent="0.25">
      <c r="C108" s="156" t="s">
        <v>650</v>
      </c>
      <c r="D108" s="159">
        <v>60681.2</v>
      </c>
      <c r="E108" s="159">
        <v>62052.6</v>
      </c>
      <c r="F108" s="159">
        <v>68555.7</v>
      </c>
      <c r="G108" s="159">
        <v>69174.3</v>
      </c>
      <c r="H108" s="230">
        <f t="shared" si="5"/>
        <v>65115.95</v>
      </c>
      <c r="I108" s="160">
        <f t="shared" si="7"/>
        <v>446.18529411764706</v>
      </c>
      <c r="J108" s="160">
        <f t="shared" si="7"/>
        <v>430.92083333333335</v>
      </c>
      <c r="K108" s="160">
        <f t="shared" si="7"/>
        <v>389.52102272727274</v>
      </c>
      <c r="L108" s="160">
        <f t="shared" si="7"/>
        <v>432.33937500000002</v>
      </c>
      <c r="P108" s="161">
        <f t="shared" si="6"/>
        <v>553.01360394552148</v>
      </c>
    </row>
    <row r="109" spans="2:16" ht="12.75" customHeight="1" x14ac:dyDescent="0.25">
      <c r="C109" s="156" t="s">
        <v>651</v>
      </c>
      <c r="D109" s="159">
        <v>49703.9</v>
      </c>
      <c r="E109" s="159">
        <v>55225.9</v>
      </c>
      <c r="F109" s="159">
        <v>58428.4</v>
      </c>
      <c r="G109" s="159">
        <v>62246.9</v>
      </c>
      <c r="H109" s="230">
        <f t="shared" si="5"/>
        <v>56401.275000000001</v>
      </c>
      <c r="I109" s="160">
        <f t="shared" si="7"/>
        <v>365.4698529411765</v>
      </c>
      <c r="J109" s="160">
        <f t="shared" si="7"/>
        <v>383.51319444444448</v>
      </c>
      <c r="K109" s="160">
        <f t="shared" si="7"/>
        <v>331.97954545454547</v>
      </c>
      <c r="L109" s="160">
        <f t="shared" si="7"/>
        <v>389.04312500000003</v>
      </c>
      <c r="P109" s="161">
        <f t="shared" si="6"/>
        <v>478.48686115697427</v>
      </c>
    </row>
    <row r="110" spans="2:16" ht="12.75" customHeight="1" x14ac:dyDescent="0.25">
      <c r="B110" s="156" t="s">
        <v>652</v>
      </c>
      <c r="C110" s="156" t="s">
        <v>653</v>
      </c>
      <c r="D110" s="159">
        <v>61474.6</v>
      </c>
      <c r="E110" s="159">
        <v>62144.2</v>
      </c>
      <c r="F110" s="162">
        <v>69014</v>
      </c>
      <c r="G110" s="159">
        <v>67775.399999999994</v>
      </c>
      <c r="H110" s="230">
        <f t="shared" si="5"/>
        <v>65102.049999999996</v>
      </c>
      <c r="I110" s="160">
        <f t="shared" si="7"/>
        <v>452.01911764705881</v>
      </c>
      <c r="J110" s="160">
        <f t="shared" si="7"/>
        <v>431.55694444444441</v>
      </c>
      <c r="K110" s="160">
        <f t="shared" si="7"/>
        <v>392.125</v>
      </c>
      <c r="L110" s="160">
        <f t="shared" si="7"/>
        <v>423.59624999999994</v>
      </c>
      <c r="P110" s="161">
        <f t="shared" si="6"/>
        <v>553.1212750857843</v>
      </c>
    </row>
    <row r="111" spans="2:16" ht="12.75" customHeight="1" x14ac:dyDescent="0.25">
      <c r="C111" s="156" t="s">
        <v>654</v>
      </c>
      <c r="D111" s="159">
        <v>77406.2</v>
      </c>
      <c r="E111" s="159">
        <v>73096.800000000003</v>
      </c>
      <c r="F111" s="159">
        <v>82088.3</v>
      </c>
      <c r="G111" s="159">
        <v>80132.5</v>
      </c>
      <c r="H111" s="230">
        <f t="shared" si="5"/>
        <v>78180.95</v>
      </c>
      <c r="I111" s="160">
        <f t="shared" si="7"/>
        <v>569.16323529411761</v>
      </c>
      <c r="J111" s="160">
        <f t="shared" si="7"/>
        <v>507.61666666666667</v>
      </c>
      <c r="K111" s="160">
        <f t="shared" si="7"/>
        <v>466.41079545454545</v>
      </c>
      <c r="L111" s="160">
        <f t="shared" si="7"/>
        <v>500.828125</v>
      </c>
      <c r="P111" s="161">
        <f t="shared" si="6"/>
        <v>665.32812669618977</v>
      </c>
    </row>
    <row r="112" spans="2:16" ht="12.75" customHeight="1" x14ac:dyDescent="0.25">
      <c r="C112" s="156" t="s">
        <v>655</v>
      </c>
      <c r="D112" s="159">
        <v>40907.199999999997</v>
      </c>
      <c r="E112" s="159">
        <v>44424.3</v>
      </c>
      <c r="F112" s="159">
        <v>51268.6</v>
      </c>
      <c r="G112" s="159">
        <v>57477.5</v>
      </c>
      <c r="H112" s="230">
        <f t="shared" si="5"/>
        <v>48519.4</v>
      </c>
      <c r="I112" s="160">
        <f t="shared" si="7"/>
        <v>300.78823529411761</v>
      </c>
      <c r="J112" s="160">
        <f t="shared" si="7"/>
        <v>308.50208333333336</v>
      </c>
      <c r="K112" s="160">
        <f t="shared" si="7"/>
        <v>291.29886363636365</v>
      </c>
      <c r="L112" s="160">
        <f t="shared" si="7"/>
        <v>359.234375</v>
      </c>
      <c r="P112" s="161">
        <f t="shared" si="6"/>
        <v>410.07256788937167</v>
      </c>
    </row>
    <row r="113" spans="1:16" ht="12.75" customHeight="1" x14ac:dyDescent="0.25">
      <c r="B113" s="156" t="s">
        <v>656</v>
      </c>
      <c r="C113" s="156" t="s">
        <v>657</v>
      </c>
      <c r="D113" s="159">
        <v>37377.699999999997</v>
      </c>
      <c r="E113" s="159">
        <v>37150.699999999997</v>
      </c>
      <c r="F113" s="159">
        <v>38791.4</v>
      </c>
      <c r="G113" s="162">
        <v>42223</v>
      </c>
      <c r="H113" s="230">
        <f t="shared" si="5"/>
        <v>38885.699999999997</v>
      </c>
      <c r="I113" s="160">
        <f t="shared" si="7"/>
        <v>274.83602941176468</v>
      </c>
      <c r="J113" s="160">
        <f t="shared" si="7"/>
        <v>257.99097222222218</v>
      </c>
      <c r="K113" s="160">
        <f t="shared" si="7"/>
        <v>220.40568181818182</v>
      </c>
      <c r="L113" s="160">
        <f t="shared" si="7"/>
        <v>263.89375000000001</v>
      </c>
      <c r="P113" s="161">
        <f t="shared" si="6"/>
        <v>331.07465408868092</v>
      </c>
    </row>
    <row r="114" spans="1:16" ht="12.75" customHeight="1" x14ac:dyDescent="0.25">
      <c r="B114" s="156" t="s">
        <v>658</v>
      </c>
      <c r="C114" s="156" t="s">
        <v>659</v>
      </c>
      <c r="D114" s="159">
        <v>51856.2</v>
      </c>
      <c r="E114" s="159">
        <v>55744.4</v>
      </c>
      <c r="F114" s="159">
        <v>58618.9</v>
      </c>
      <c r="G114" s="159">
        <v>59537.5</v>
      </c>
      <c r="H114" s="230">
        <f t="shared" si="5"/>
        <v>56439.25</v>
      </c>
      <c r="I114" s="160">
        <f t="shared" si="7"/>
        <v>381.29558823529408</v>
      </c>
      <c r="J114" s="160">
        <f t="shared" si="7"/>
        <v>387.11388888888888</v>
      </c>
      <c r="K114" s="160">
        <f t="shared" si="7"/>
        <v>333.06193181818185</v>
      </c>
      <c r="L114" s="160">
        <f t="shared" si="7"/>
        <v>372.109375</v>
      </c>
      <c r="P114" s="161">
        <f t="shared" si="6"/>
        <v>479.65054517323978</v>
      </c>
    </row>
    <row r="115" spans="1:16" ht="12.75" customHeight="1" x14ac:dyDescent="0.25">
      <c r="C115" s="156" t="s">
        <v>660</v>
      </c>
      <c r="D115" s="159">
        <v>41555.699999999997</v>
      </c>
      <c r="E115" s="159">
        <v>39913.300000000003</v>
      </c>
      <c r="F115" s="162">
        <v>43583</v>
      </c>
      <c r="G115" s="159">
        <v>42789.7</v>
      </c>
      <c r="H115" s="230">
        <f t="shared" si="5"/>
        <v>41960.425000000003</v>
      </c>
      <c r="I115" s="160">
        <f t="shared" si="7"/>
        <v>305.55661764705883</v>
      </c>
      <c r="J115" s="160">
        <f t="shared" si="7"/>
        <v>277.17569444444445</v>
      </c>
      <c r="K115" s="160">
        <f t="shared" si="7"/>
        <v>247.63068181818181</v>
      </c>
      <c r="L115" s="160">
        <f t="shared" si="7"/>
        <v>267.43562499999996</v>
      </c>
      <c r="P115" s="161">
        <f t="shared" si="6"/>
        <v>357.33345045510248</v>
      </c>
    </row>
    <row r="116" spans="1:16" ht="12.75" customHeight="1" x14ac:dyDescent="0.25">
      <c r="C116" s="156" t="s">
        <v>661</v>
      </c>
      <c r="D116" s="162">
        <v>40030</v>
      </c>
      <c r="E116" s="159">
        <v>40280.400000000001</v>
      </c>
      <c r="F116" s="159">
        <v>42007.6</v>
      </c>
      <c r="G116" s="159">
        <v>44156.6</v>
      </c>
      <c r="H116" s="230">
        <f t="shared" si="5"/>
        <v>41618.65</v>
      </c>
      <c r="I116" s="160">
        <f t="shared" si="7"/>
        <v>294.33823529411762</v>
      </c>
      <c r="J116" s="160">
        <f t="shared" si="7"/>
        <v>279.72500000000002</v>
      </c>
      <c r="K116" s="160">
        <f t="shared" si="7"/>
        <v>238.67954545454543</v>
      </c>
      <c r="L116" s="160">
        <f t="shared" si="7"/>
        <v>275.97874999999999</v>
      </c>
      <c r="P116" s="161">
        <f t="shared" si="6"/>
        <v>354.37885825868983</v>
      </c>
    </row>
    <row r="117" spans="1:16" ht="12.75" customHeight="1" x14ac:dyDescent="0.25">
      <c r="C117" s="156" t="s">
        <v>662</v>
      </c>
      <c r="D117" s="159">
        <v>36376.300000000003</v>
      </c>
      <c r="E117" s="159">
        <v>37027.199999999997</v>
      </c>
      <c r="F117" s="162">
        <v>39413</v>
      </c>
      <c r="G117" s="159">
        <v>41922.800000000003</v>
      </c>
      <c r="H117" s="230">
        <f t="shared" si="5"/>
        <v>38684.824999999997</v>
      </c>
      <c r="I117" s="160">
        <f t="shared" si="7"/>
        <v>267.47279411764708</v>
      </c>
      <c r="J117" s="160">
        <f t="shared" si="7"/>
        <v>257.13333333333333</v>
      </c>
      <c r="K117" s="160">
        <f t="shared" si="7"/>
        <v>223.9375</v>
      </c>
      <c r="L117" s="160">
        <f t="shared" si="7"/>
        <v>262.01750000000004</v>
      </c>
      <c r="P117" s="161">
        <f t="shared" si="6"/>
        <v>328.93764698529418</v>
      </c>
    </row>
    <row r="118" spans="1:16" ht="12.75" customHeight="1" x14ac:dyDescent="0.25">
      <c r="C118" s="156" t="s">
        <v>663</v>
      </c>
      <c r="D118" s="159">
        <v>62585.8</v>
      </c>
      <c r="E118" s="159">
        <v>62900.4</v>
      </c>
      <c r="F118" s="159">
        <v>88005.6</v>
      </c>
      <c r="G118" s="159">
        <v>67276.899999999994</v>
      </c>
      <c r="H118" s="230">
        <f t="shared" si="5"/>
        <v>70192.175000000003</v>
      </c>
      <c r="I118" s="160">
        <f t="shared" si="7"/>
        <v>460.18970588235294</v>
      </c>
      <c r="J118" s="160">
        <f t="shared" si="7"/>
        <v>436.80833333333334</v>
      </c>
      <c r="K118" s="160">
        <f t="shared" si="7"/>
        <v>500.03181818181821</v>
      </c>
      <c r="L118" s="160">
        <f t="shared" si="7"/>
        <v>420.48062499999997</v>
      </c>
      <c r="P118" s="161">
        <f t="shared" si="6"/>
        <v>591.59966202038765</v>
      </c>
    </row>
    <row r="119" spans="1:16" ht="12.75" customHeight="1" x14ac:dyDescent="0.25">
      <c r="C119" s="156" t="s">
        <v>664</v>
      </c>
      <c r="D119" s="159">
        <v>43135.9</v>
      </c>
      <c r="E119" s="159">
        <v>43493.599999999999</v>
      </c>
      <c r="F119" s="159">
        <v>43620.5</v>
      </c>
      <c r="G119" s="159">
        <v>45169.599999999999</v>
      </c>
      <c r="H119" s="230">
        <f t="shared" si="5"/>
        <v>43854.9</v>
      </c>
      <c r="I119" s="160">
        <f t="shared" si="7"/>
        <v>317.17573529411766</v>
      </c>
      <c r="J119" s="160">
        <f t="shared" si="7"/>
        <v>302.03888888888889</v>
      </c>
      <c r="K119" s="160">
        <f t="shared" si="7"/>
        <v>247.84375</v>
      </c>
      <c r="L119" s="160">
        <f t="shared" si="7"/>
        <v>282.31</v>
      </c>
      <c r="P119" s="161">
        <f t="shared" si="6"/>
        <v>374.11940579656869</v>
      </c>
    </row>
    <row r="120" spans="1:16" ht="12.75" customHeight="1" x14ac:dyDescent="0.25">
      <c r="B120" s="156" t="s">
        <v>665</v>
      </c>
      <c r="C120" s="156" t="s">
        <v>666</v>
      </c>
      <c r="D120" s="159">
        <v>67714.399999999994</v>
      </c>
      <c r="E120" s="159">
        <v>68289.100000000006</v>
      </c>
      <c r="F120" s="159">
        <v>72400.100000000006</v>
      </c>
      <c r="G120" s="159">
        <v>75433.7</v>
      </c>
      <c r="H120" s="230">
        <f t="shared" si="5"/>
        <v>70959.324999999997</v>
      </c>
      <c r="I120" s="160">
        <f t="shared" si="7"/>
        <v>497.9</v>
      </c>
      <c r="J120" s="160">
        <f t="shared" si="7"/>
        <v>474.22986111111118</v>
      </c>
      <c r="K120" s="160">
        <f t="shared" si="7"/>
        <v>411.36420454545458</v>
      </c>
      <c r="L120" s="160">
        <f t="shared" si="7"/>
        <v>471.46062499999999</v>
      </c>
      <c r="P120" s="161">
        <f t="shared" si="6"/>
        <v>603.78775180871207</v>
      </c>
    </row>
    <row r="121" spans="1:16" ht="12.75" customHeight="1" x14ac:dyDescent="0.25">
      <c r="C121" s="156" t="s">
        <v>667</v>
      </c>
      <c r="D121" s="159">
        <v>62061.1</v>
      </c>
      <c r="E121" s="159">
        <v>70202.399999999994</v>
      </c>
      <c r="F121" s="159">
        <v>72106.100000000006</v>
      </c>
      <c r="G121" s="159">
        <v>77072.600000000006</v>
      </c>
      <c r="H121" s="230">
        <f t="shared" si="5"/>
        <v>70360.55</v>
      </c>
      <c r="I121" s="160">
        <f t="shared" si="7"/>
        <v>456.33161764705881</v>
      </c>
      <c r="J121" s="160">
        <f t="shared" si="7"/>
        <v>487.51666666666665</v>
      </c>
      <c r="K121" s="160">
        <f t="shared" si="7"/>
        <v>409.69375000000002</v>
      </c>
      <c r="L121" s="160">
        <f t="shared" si="7"/>
        <v>481.70375000000001</v>
      </c>
      <c r="P121" s="161">
        <f t="shared" si="6"/>
        <v>597.37250279411762</v>
      </c>
    </row>
    <row r="122" spans="1:16" ht="12.75" customHeight="1" x14ac:dyDescent="0.25">
      <c r="A122" s="156" t="s">
        <v>668</v>
      </c>
      <c r="B122" s="156" t="s">
        <v>669</v>
      </c>
      <c r="C122" s="156" t="s">
        <v>670</v>
      </c>
      <c r="D122" s="162">
        <v>81379</v>
      </c>
      <c r="E122" s="159">
        <v>79902.899999999994</v>
      </c>
      <c r="F122" s="159">
        <v>84727.3</v>
      </c>
      <c r="G122" s="159">
        <v>102842.7</v>
      </c>
      <c r="H122" s="230">
        <f t="shared" si="5"/>
        <v>87212.975000000006</v>
      </c>
      <c r="I122" s="160">
        <f t="shared" si="7"/>
        <v>598.375</v>
      </c>
      <c r="J122" s="160">
        <f t="shared" si="7"/>
        <v>554.88124999999991</v>
      </c>
      <c r="K122" s="160">
        <f t="shared" si="7"/>
        <v>481.40511363636364</v>
      </c>
      <c r="L122" s="160">
        <f t="shared" si="7"/>
        <v>642.76687500000003</v>
      </c>
      <c r="P122" s="161">
        <f t="shared" si="6"/>
        <v>741.30289167613648</v>
      </c>
    </row>
    <row r="123" spans="1:16" ht="12.75" customHeight="1" x14ac:dyDescent="0.25">
      <c r="C123" s="156" t="s">
        <v>671</v>
      </c>
      <c r="D123" s="159">
        <v>54285.7</v>
      </c>
      <c r="E123" s="159">
        <v>58719.8</v>
      </c>
      <c r="F123" s="159">
        <v>60512.5</v>
      </c>
      <c r="G123" s="159">
        <v>61522.5</v>
      </c>
      <c r="H123" s="230">
        <f t="shared" si="5"/>
        <v>58760.125</v>
      </c>
      <c r="I123" s="160">
        <f t="shared" si="7"/>
        <v>399.15955882352938</v>
      </c>
      <c r="J123" s="160">
        <f t="shared" si="7"/>
        <v>407.7763888888889</v>
      </c>
      <c r="K123" s="160">
        <f t="shared" si="7"/>
        <v>343.82102272727275</v>
      </c>
      <c r="L123" s="160">
        <f t="shared" si="7"/>
        <v>384.515625</v>
      </c>
      <c r="P123" s="161">
        <f t="shared" si="6"/>
        <v>499.73122981561943</v>
      </c>
    </row>
    <row r="124" spans="1:16" ht="12.75" customHeight="1" x14ac:dyDescent="0.25">
      <c r="C124" s="156" t="s">
        <v>672</v>
      </c>
      <c r="D124" s="159">
        <v>53253.3</v>
      </c>
      <c r="E124" s="159">
        <v>49457.7</v>
      </c>
      <c r="F124" s="159">
        <v>52645.7</v>
      </c>
      <c r="G124" s="159">
        <v>58256.2</v>
      </c>
      <c r="H124" s="230">
        <f t="shared" si="5"/>
        <v>53403.225000000006</v>
      </c>
      <c r="I124" s="160">
        <f t="shared" si="7"/>
        <v>391.56838235294117</v>
      </c>
      <c r="J124" s="160">
        <f t="shared" si="7"/>
        <v>343.45624999999995</v>
      </c>
      <c r="K124" s="160">
        <f t="shared" si="7"/>
        <v>299.12329545454543</v>
      </c>
      <c r="L124" s="160">
        <f t="shared" si="7"/>
        <v>364.10124999999999</v>
      </c>
      <c r="P124" s="161">
        <f t="shared" si="6"/>
        <v>455.13010737633692</v>
      </c>
    </row>
    <row r="125" spans="1:16" ht="12.75" customHeight="1" x14ac:dyDescent="0.25">
      <c r="A125" s="156" t="s">
        <v>673</v>
      </c>
      <c r="B125" s="156" t="s">
        <v>674</v>
      </c>
      <c r="C125" s="156" t="s">
        <v>675</v>
      </c>
      <c r="D125" s="159">
        <v>47404.6</v>
      </c>
      <c r="E125" s="159">
        <v>44670.8</v>
      </c>
      <c r="F125" s="159">
        <v>48844.4</v>
      </c>
      <c r="G125" s="159">
        <v>49464.800000000003</v>
      </c>
      <c r="H125" s="230">
        <f t="shared" si="5"/>
        <v>47596.149999999994</v>
      </c>
      <c r="I125" s="160">
        <f t="shared" si="7"/>
        <v>348.56323529411765</v>
      </c>
      <c r="J125" s="160">
        <f t="shared" si="7"/>
        <v>310.2138888888889</v>
      </c>
      <c r="K125" s="160">
        <f t="shared" si="7"/>
        <v>277.52500000000003</v>
      </c>
      <c r="L125" s="160">
        <f t="shared" si="7"/>
        <v>309.15500000000003</v>
      </c>
      <c r="P125" s="161">
        <f t="shared" si="6"/>
        <v>405.39629392156866</v>
      </c>
    </row>
    <row r="126" spans="1:16" ht="12.75" customHeight="1" x14ac:dyDescent="0.25">
      <c r="B126" s="156" t="s">
        <v>676</v>
      </c>
      <c r="C126" s="156" t="s">
        <v>677</v>
      </c>
      <c r="D126" s="159">
        <v>45676.1</v>
      </c>
      <c r="E126" s="159">
        <v>43356.800000000003</v>
      </c>
      <c r="F126" s="159">
        <v>46519.8</v>
      </c>
      <c r="G126" s="159">
        <v>46783.1</v>
      </c>
      <c r="H126" s="230">
        <f t="shared" si="5"/>
        <v>45583.950000000004</v>
      </c>
      <c r="I126" s="160">
        <f t="shared" si="7"/>
        <v>335.8536764705882</v>
      </c>
      <c r="J126" s="160">
        <f t="shared" si="7"/>
        <v>301.0888888888889</v>
      </c>
      <c r="K126" s="160">
        <f t="shared" si="7"/>
        <v>264.31704545454545</v>
      </c>
      <c r="L126" s="160">
        <f t="shared" si="7"/>
        <v>292.39437499999997</v>
      </c>
      <c r="P126" s="161">
        <f t="shared" si="6"/>
        <v>388.53437238246443</v>
      </c>
    </row>
    <row r="127" spans="1:16" ht="12.75" customHeight="1" x14ac:dyDescent="0.25">
      <c r="B127" s="156" t="s">
        <v>678</v>
      </c>
      <c r="C127" s="156" t="s">
        <v>679</v>
      </c>
      <c r="D127" s="159">
        <v>53716.2</v>
      </c>
      <c r="E127" s="159">
        <v>50319.6</v>
      </c>
      <c r="F127" s="159">
        <v>54198.5</v>
      </c>
      <c r="G127" s="159">
        <v>54413.3</v>
      </c>
      <c r="H127" s="230">
        <f t="shared" si="5"/>
        <v>53161.899999999994</v>
      </c>
      <c r="I127" s="160">
        <f t="shared" si="7"/>
        <v>394.97205882352938</v>
      </c>
      <c r="J127" s="160">
        <f t="shared" si="7"/>
        <v>349.44166666666666</v>
      </c>
      <c r="K127" s="160">
        <f t="shared" si="7"/>
        <v>307.94602272727275</v>
      </c>
      <c r="L127" s="160">
        <f t="shared" si="7"/>
        <v>340.083125</v>
      </c>
      <c r="P127" s="161">
        <f t="shared" si="6"/>
        <v>453.2401552322861</v>
      </c>
    </row>
    <row r="128" spans="1:16" ht="12.75" customHeight="1" x14ac:dyDescent="0.25">
      <c r="C128" s="156" t="s">
        <v>680</v>
      </c>
      <c r="D128" s="159">
        <v>81556.5</v>
      </c>
      <c r="E128" s="159">
        <v>63512.7</v>
      </c>
      <c r="F128" s="159">
        <v>64838.2</v>
      </c>
      <c r="G128" s="159">
        <v>78951.600000000006</v>
      </c>
      <c r="H128" s="230">
        <f t="shared" si="5"/>
        <v>72214.75</v>
      </c>
      <c r="I128" s="160">
        <f t="shared" si="7"/>
        <v>599.68014705882354</v>
      </c>
      <c r="J128" s="160">
        <f t="shared" si="7"/>
        <v>441.06041666666664</v>
      </c>
      <c r="K128" s="160">
        <f t="shared" si="7"/>
        <v>368.39886363636361</v>
      </c>
      <c r="L128" s="160">
        <f t="shared" si="7"/>
        <v>493.44750000000005</v>
      </c>
      <c r="P128" s="161">
        <f t="shared" si="6"/>
        <v>619.29204485628338</v>
      </c>
    </row>
    <row r="129" spans="1:16" ht="12.75" customHeight="1" x14ac:dyDescent="0.25">
      <c r="C129" s="156" t="s">
        <v>681</v>
      </c>
      <c r="D129" s="159">
        <v>44722.7</v>
      </c>
      <c r="E129" s="162">
        <v>48231</v>
      </c>
      <c r="F129" s="159">
        <v>50638.2</v>
      </c>
      <c r="G129" s="159">
        <v>50993.1</v>
      </c>
      <c r="H129" s="230">
        <f t="shared" si="5"/>
        <v>48646.25</v>
      </c>
      <c r="I129" s="160">
        <f t="shared" si="7"/>
        <v>328.84338235294115</v>
      </c>
      <c r="J129" s="160">
        <f t="shared" si="7"/>
        <v>334.9375</v>
      </c>
      <c r="K129" s="160">
        <f t="shared" si="7"/>
        <v>287.71704545454543</v>
      </c>
      <c r="L129" s="160">
        <f t="shared" si="7"/>
        <v>318.70687499999997</v>
      </c>
      <c r="P129" s="161">
        <f t="shared" si="6"/>
        <v>413.45166331383683</v>
      </c>
    </row>
    <row r="130" spans="1:16" ht="12.75" customHeight="1" x14ac:dyDescent="0.25">
      <c r="B130" s="156" t="s">
        <v>682</v>
      </c>
      <c r="C130" s="156" t="s">
        <v>683</v>
      </c>
      <c r="D130" s="159">
        <v>43674.5</v>
      </c>
      <c r="E130" s="159">
        <v>41590.400000000001</v>
      </c>
      <c r="F130" s="159">
        <v>43645.4</v>
      </c>
      <c r="G130" s="162">
        <v>47234</v>
      </c>
      <c r="H130" s="230">
        <f t="shared" si="5"/>
        <v>44036.074999999997</v>
      </c>
      <c r="I130" s="160">
        <f t="shared" si="7"/>
        <v>321.1360294117647</v>
      </c>
      <c r="J130" s="160">
        <f t="shared" si="7"/>
        <v>288.82222222222225</v>
      </c>
      <c r="K130" s="160">
        <f t="shared" si="7"/>
        <v>247.98522727272729</v>
      </c>
      <c r="L130" s="160">
        <f t="shared" si="7"/>
        <v>295.21249999999998</v>
      </c>
      <c r="P130" s="161">
        <f t="shared" si="6"/>
        <v>375.35227113413549</v>
      </c>
    </row>
    <row r="131" spans="1:16" ht="12.75" customHeight="1" x14ac:dyDescent="0.25">
      <c r="A131" s="156" t="s">
        <v>684</v>
      </c>
      <c r="B131" s="156" t="s">
        <v>685</v>
      </c>
      <c r="C131" s="156" t="s">
        <v>686</v>
      </c>
      <c r="D131" s="159">
        <v>52254.3</v>
      </c>
      <c r="E131" s="159">
        <v>54161.4</v>
      </c>
      <c r="F131" s="159">
        <v>58555.6</v>
      </c>
      <c r="G131" s="159">
        <v>52427.8</v>
      </c>
      <c r="H131" s="230">
        <f t="shared" si="5"/>
        <v>54349.775000000009</v>
      </c>
      <c r="I131" s="160">
        <f t="shared" si="7"/>
        <v>384.22279411764708</v>
      </c>
      <c r="J131" s="160">
        <f t="shared" si="7"/>
        <v>376.12083333333334</v>
      </c>
      <c r="K131" s="160">
        <f t="shared" si="7"/>
        <v>332.70227272727271</v>
      </c>
      <c r="L131" s="160">
        <f t="shared" si="7"/>
        <v>327.67375000000004</v>
      </c>
      <c r="P131" s="161">
        <f t="shared" si="6"/>
        <v>462.44424613302147</v>
      </c>
    </row>
    <row r="132" spans="1:16" ht="12.75" customHeight="1" x14ac:dyDescent="0.25">
      <c r="C132" s="156" t="s">
        <v>687</v>
      </c>
      <c r="D132" s="159">
        <v>53127.9</v>
      </c>
      <c r="E132" s="159">
        <v>56029.2</v>
      </c>
      <c r="F132" s="159">
        <v>62030.6</v>
      </c>
      <c r="G132" s="159">
        <v>62417.4</v>
      </c>
      <c r="H132" s="230">
        <f t="shared" si="5"/>
        <v>58401.275000000001</v>
      </c>
      <c r="I132" s="160">
        <f t="shared" si="7"/>
        <v>390.6463235294118</v>
      </c>
      <c r="J132" s="160">
        <f t="shared" si="7"/>
        <v>389.09166666666664</v>
      </c>
      <c r="K132" s="160">
        <f t="shared" si="7"/>
        <v>352.4465909090909</v>
      </c>
      <c r="L132" s="160">
        <f t="shared" si="7"/>
        <v>390.10874999999999</v>
      </c>
      <c r="P132" s="161">
        <f t="shared" si="6"/>
        <v>495.50647927473261</v>
      </c>
    </row>
    <row r="133" spans="1:16" ht="12.75" customHeight="1" x14ac:dyDescent="0.25">
      <c r="B133" s="156" t="s">
        <v>688</v>
      </c>
      <c r="C133" s="156" t="s">
        <v>689</v>
      </c>
      <c r="D133" s="159">
        <v>61725.9</v>
      </c>
      <c r="E133" s="159">
        <v>64371.5</v>
      </c>
      <c r="F133" s="159">
        <v>71294.100000000006</v>
      </c>
      <c r="G133" s="159">
        <v>71914.8</v>
      </c>
      <c r="H133" s="230">
        <f t="shared" si="5"/>
        <v>67326.574999999997</v>
      </c>
      <c r="I133" s="160">
        <f t="shared" si="7"/>
        <v>453.86691176470589</v>
      </c>
      <c r="J133" s="160">
        <f t="shared" si="7"/>
        <v>447.02430555555554</v>
      </c>
      <c r="K133" s="160">
        <f t="shared" si="7"/>
        <v>405.08011363636365</v>
      </c>
      <c r="L133" s="160">
        <f t="shared" si="7"/>
        <v>449.46750000000003</v>
      </c>
      <c r="P133" s="161">
        <f t="shared" si="6"/>
        <v>571.39533947638142</v>
      </c>
    </row>
    <row r="134" spans="1:16" ht="12.75" customHeight="1" x14ac:dyDescent="0.25">
      <c r="C134" s="156" t="s">
        <v>690</v>
      </c>
      <c r="D134" s="159">
        <v>72516.800000000003</v>
      </c>
      <c r="E134" s="159">
        <v>86988.2</v>
      </c>
      <c r="F134" s="159">
        <v>95221.8</v>
      </c>
      <c r="G134" s="159">
        <v>92619.6</v>
      </c>
      <c r="H134" s="230">
        <f t="shared" si="5"/>
        <v>86836.6</v>
      </c>
      <c r="I134" s="160">
        <f t="shared" si="7"/>
        <v>533.21176470588239</v>
      </c>
      <c r="J134" s="160">
        <f t="shared" si="7"/>
        <v>604.08472222222224</v>
      </c>
      <c r="K134" s="160">
        <f t="shared" si="7"/>
        <v>541.03295454545457</v>
      </c>
      <c r="L134" s="160">
        <f t="shared" si="7"/>
        <v>578.87250000000006</v>
      </c>
      <c r="P134" s="161">
        <f t="shared" si="6"/>
        <v>734.71923194964347</v>
      </c>
    </row>
    <row r="135" spans="1:16" ht="12.75" customHeight="1" x14ac:dyDescent="0.25">
      <c r="C135" s="156" t="s">
        <v>691</v>
      </c>
      <c r="D135" s="159">
        <v>81335.899999999994</v>
      </c>
      <c r="E135" s="159">
        <v>81382.899999999994</v>
      </c>
      <c r="F135" s="159">
        <v>94045.1</v>
      </c>
      <c r="G135" s="159">
        <v>94849.8</v>
      </c>
      <c r="H135" s="230">
        <f t="shared" ref="H135:H198" si="8">AVERAGE(D135:G135)</f>
        <v>87903.425000000003</v>
      </c>
      <c r="I135" s="160">
        <f t="shared" si="7"/>
        <v>598.05808823529412</v>
      </c>
      <c r="J135" s="160">
        <f t="shared" si="7"/>
        <v>565.15902777777774</v>
      </c>
      <c r="K135" s="160">
        <f t="shared" si="7"/>
        <v>534.34715909090914</v>
      </c>
      <c r="L135" s="160">
        <f t="shared" si="7"/>
        <v>592.81124999999997</v>
      </c>
      <c r="P135" s="161">
        <f t="shared" ref="P135:P198" si="9">AVERAGE(I135:L135)*1.302</f>
        <v>745.51723342134585</v>
      </c>
    </row>
    <row r="136" spans="1:16" ht="12.75" customHeight="1" x14ac:dyDescent="0.25">
      <c r="B136" s="156" t="s">
        <v>692</v>
      </c>
      <c r="C136" s="156" t="s">
        <v>693</v>
      </c>
      <c r="D136" s="159">
        <v>66740.600000000006</v>
      </c>
      <c r="E136" s="159">
        <v>68951.199999999997</v>
      </c>
      <c r="F136" s="159">
        <v>75608.399999999994</v>
      </c>
      <c r="G136" s="159">
        <v>74330.100000000006</v>
      </c>
      <c r="H136" s="230">
        <f t="shared" si="8"/>
        <v>71407.574999999997</v>
      </c>
      <c r="I136" s="160">
        <f t="shared" si="7"/>
        <v>490.73970588235301</v>
      </c>
      <c r="J136" s="160">
        <f t="shared" si="7"/>
        <v>478.82777777777778</v>
      </c>
      <c r="K136" s="160">
        <f t="shared" si="7"/>
        <v>429.59318181818179</v>
      </c>
      <c r="L136" s="160">
        <f t="shared" si="7"/>
        <v>464.56312500000001</v>
      </c>
      <c r="P136" s="161">
        <f t="shared" si="9"/>
        <v>606.64209380069087</v>
      </c>
    </row>
    <row r="137" spans="1:16" ht="12.75" customHeight="1" x14ac:dyDescent="0.25">
      <c r="C137" s="156" t="s">
        <v>694</v>
      </c>
      <c r="D137" s="159">
        <v>44686.400000000001</v>
      </c>
      <c r="E137" s="159">
        <v>45293.1</v>
      </c>
      <c r="F137" s="162">
        <v>49225</v>
      </c>
      <c r="G137" s="159">
        <v>49822.7</v>
      </c>
      <c r="H137" s="230">
        <f t="shared" si="8"/>
        <v>47256.800000000003</v>
      </c>
      <c r="I137" s="160">
        <f t="shared" si="7"/>
        <v>328.57647058823528</v>
      </c>
      <c r="J137" s="160">
        <f t="shared" si="7"/>
        <v>314.53541666666666</v>
      </c>
      <c r="K137" s="160">
        <f t="shared" si="7"/>
        <v>279.6875</v>
      </c>
      <c r="L137" s="160">
        <f t="shared" si="7"/>
        <v>311.39187499999997</v>
      </c>
      <c r="P137" s="161">
        <f t="shared" si="9"/>
        <v>401.72925586397059</v>
      </c>
    </row>
    <row r="138" spans="1:16" ht="12.75" customHeight="1" x14ac:dyDescent="0.25">
      <c r="C138" s="156" t="s">
        <v>695</v>
      </c>
      <c r="D138" s="159">
        <v>28579.1</v>
      </c>
      <c r="E138" s="159">
        <v>29079.200000000001</v>
      </c>
      <c r="F138" s="159">
        <v>32605.7</v>
      </c>
      <c r="G138" s="159">
        <v>35137.4</v>
      </c>
      <c r="H138" s="230">
        <f t="shared" si="8"/>
        <v>31350.35</v>
      </c>
      <c r="I138" s="160">
        <f t="shared" si="7"/>
        <v>210.14044117647057</v>
      </c>
      <c r="J138" s="160">
        <f t="shared" si="7"/>
        <v>201.9388888888889</v>
      </c>
      <c r="K138" s="160">
        <f t="shared" si="7"/>
        <v>185.25965909090908</v>
      </c>
      <c r="L138" s="160">
        <f t="shared" si="7"/>
        <v>219.60875000000001</v>
      </c>
      <c r="P138" s="161">
        <f t="shared" si="9"/>
        <v>265.91648909536542</v>
      </c>
    </row>
    <row r="139" spans="1:16" ht="12.75" customHeight="1" x14ac:dyDescent="0.25">
      <c r="C139" s="156" t="s">
        <v>696</v>
      </c>
      <c r="D139" s="159">
        <v>60530.8</v>
      </c>
      <c r="E139" s="159">
        <v>62051.3</v>
      </c>
      <c r="F139" s="159">
        <v>70650.100000000006</v>
      </c>
      <c r="G139" s="159">
        <v>69881.600000000006</v>
      </c>
      <c r="H139" s="230">
        <f t="shared" si="8"/>
        <v>65778.450000000012</v>
      </c>
      <c r="I139" s="160">
        <f t="shared" si="7"/>
        <v>445.07941176470592</v>
      </c>
      <c r="J139" s="160">
        <f t="shared" si="7"/>
        <v>430.91180555555559</v>
      </c>
      <c r="K139" s="160">
        <f t="shared" si="7"/>
        <v>401.42102272727277</v>
      </c>
      <c r="L139" s="160">
        <f t="shared" si="7"/>
        <v>436.76000000000005</v>
      </c>
      <c r="P139" s="161">
        <f t="shared" si="9"/>
        <v>557.96306413547245</v>
      </c>
    </row>
    <row r="140" spans="1:16" ht="12.75" customHeight="1" x14ac:dyDescent="0.25">
      <c r="A140" s="156" t="s">
        <v>697</v>
      </c>
      <c r="B140" s="156" t="s">
        <v>698</v>
      </c>
      <c r="C140" s="156" t="s">
        <v>699</v>
      </c>
      <c r="D140" s="159">
        <v>67717.899999999994</v>
      </c>
      <c r="E140" s="159">
        <v>74117.2</v>
      </c>
      <c r="F140" s="159">
        <v>75155.899999999994</v>
      </c>
      <c r="G140" s="159">
        <v>84399.2</v>
      </c>
      <c r="H140" s="230">
        <f t="shared" si="8"/>
        <v>75347.549999999988</v>
      </c>
      <c r="I140" s="160">
        <f t="shared" si="7"/>
        <v>497.9257352941176</v>
      </c>
      <c r="J140" s="160">
        <f t="shared" si="7"/>
        <v>514.70277777777778</v>
      </c>
      <c r="K140" s="160">
        <f t="shared" si="7"/>
        <v>427.02215909090904</v>
      </c>
      <c r="L140" s="160">
        <f t="shared" si="7"/>
        <v>527.495</v>
      </c>
      <c r="P140" s="161">
        <f t="shared" si="9"/>
        <v>640.30591628899299</v>
      </c>
    </row>
    <row r="141" spans="1:16" ht="12.75" customHeight="1" x14ac:dyDescent="0.25">
      <c r="C141" s="156" t="s">
        <v>700</v>
      </c>
      <c r="D141" s="159">
        <v>44641.8</v>
      </c>
      <c r="E141" s="159">
        <v>44852.3</v>
      </c>
      <c r="F141" s="159">
        <v>47690.3</v>
      </c>
      <c r="G141" s="159">
        <v>52727.3</v>
      </c>
      <c r="H141" s="230">
        <f t="shared" si="8"/>
        <v>47477.925000000003</v>
      </c>
      <c r="I141" s="160">
        <f t="shared" si="7"/>
        <v>328.24852941176471</v>
      </c>
      <c r="J141" s="160">
        <f t="shared" si="7"/>
        <v>311.47430555555559</v>
      </c>
      <c r="K141" s="160">
        <f t="shared" si="7"/>
        <v>270.96761363636364</v>
      </c>
      <c r="L141" s="160">
        <f t="shared" si="7"/>
        <v>329.54562500000003</v>
      </c>
      <c r="P141" s="161">
        <f t="shared" si="9"/>
        <v>403.69684195799914</v>
      </c>
    </row>
    <row r="142" spans="1:16" ht="12.75" customHeight="1" x14ac:dyDescent="0.25">
      <c r="C142" s="156" t="s">
        <v>701</v>
      </c>
      <c r="D142" s="159">
        <v>44879.9</v>
      </c>
      <c r="E142" s="159">
        <v>46873.1</v>
      </c>
      <c r="F142" s="159">
        <v>50296.800000000003</v>
      </c>
      <c r="G142" s="159">
        <v>51184.1</v>
      </c>
      <c r="H142" s="230">
        <f t="shared" si="8"/>
        <v>48308.474999999999</v>
      </c>
      <c r="I142" s="160">
        <f t="shared" si="7"/>
        <v>329.99926470588235</v>
      </c>
      <c r="J142" s="160">
        <f t="shared" si="7"/>
        <v>325.50763888888889</v>
      </c>
      <c r="K142" s="160">
        <f t="shared" si="7"/>
        <v>285.77727272727276</v>
      </c>
      <c r="L142" s="160">
        <f t="shared" si="7"/>
        <v>319.90062499999999</v>
      </c>
      <c r="P142" s="161">
        <f t="shared" si="9"/>
        <v>410.51565283032534</v>
      </c>
    </row>
    <row r="143" spans="1:16" ht="12.75" customHeight="1" x14ac:dyDescent="0.25">
      <c r="C143" s="156" t="s">
        <v>702</v>
      </c>
      <c r="D143" s="159">
        <v>40916.1</v>
      </c>
      <c r="E143" s="159">
        <v>37665.9</v>
      </c>
      <c r="F143" s="159">
        <v>42711.6</v>
      </c>
      <c r="G143" s="162">
        <v>54211</v>
      </c>
      <c r="H143" s="230">
        <f t="shared" si="8"/>
        <v>43876.15</v>
      </c>
      <c r="I143" s="160">
        <f t="shared" si="7"/>
        <v>300.8536764705882</v>
      </c>
      <c r="J143" s="160">
        <f t="shared" si="7"/>
        <v>261.56875000000002</v>
      </c>
      <c r="K143" s="160">
        <f t="shared" si="7"/>
        <v>242.67954545454543</v>
      </c>
      <c r="L143" s="160">
        <f t="shared" si="7"/>
        <v>338.81875000000002</v>
      </c>
      <c r="P143" s="161">
        <f t="shared" si="9"/>
        <v>372.34619498663102</v>
      </c>
    </row>
    <row r="144" spans="1:16" ht="12.75" customHeight="1" x14ac:dyDescent="0.25">
      <c r="B144" s="156" t="s">
        <v>703</v>
      </c>
      <c r="C144" s="156" t="s">
        <v>704</v>
      </c>
      <c r="D144" s="159">
        <v>53060.4</v>
      </c>
      <c r="E144" s="159">
        <v>58432.3</v>
      </c>
      <c r="F144" s="159">
        <v>76159.3</v>
      </c>
      <c r="G144" s="159">
        <v>91181.3</v>
      </c>
      <c r="H144" s="230">
        <f t="shared" si="8"/>
        <v>69708.324999999997</v>
      </c>
      <c r="I144" s="160">
        <f t="shared" si="7"/>
        <v>390.15000000000003</v>
      </c>
      <c r="J144" s="160">
        <f t="shared" si="7"/>
        <v>405.77986111111113</v>
      </c>
      <c r="K144" s="160">
        <f t="shared" si="7"/>
        <v>432.72329545454545</v>
      </c>
      <c r="L144" s="160">
        <f t="shared" si="7"/>
        <v>569.88312500000006</v>
      </c>
      <c r="P144" s="161">
        <f t="shared" si="9"/>
        <v>585.42355964962132</v>
      </c>
    </row>
    <row r="145" spans="2:16" ht="12.75" customHeight="1" x14ac:dyDescent="0.25">
      <c r="C145" s="156" t="s">
        <v>705</v>
      </c>
      <c r="D145" s="159">
        <v>55511.5</v>
      </c>
      <c r="E145" s="162">
        <v>58906</v>
      </c>
      <c r="F145" s="159">
        <v>62450.6</v>
      </c>
      <c r="G145" s="159">
        <v>80024.2</v>
      </c>
      <c r="H145" s="230">
        <f t="shared" si="8"/>
        <v>64223.074999999997</v>
      </c>
      <c r="I145" s="160">
        <f t="shared" si="7"/>
        <v>408.17279411764707</v>
      </c>
      <c r="J145" s="160">
        <f t="shared" si="7"/>
        <v>409.06944444444446</v>
      </c>
      <c r="K145" s="160">
        <f t="shared" si="7"/>
        <v>354.83295454545453</v>
      </c>
      <c r="L145" s="160">
        <f t="shared" si="7"/>
        <v>500.15125</v>
      </c>
      <c r="P145" s="161">
        <f t="shared" si="9"/>
        <v>544.3097072315062</v>
      </c>
    </row>
    <row r="146" spans="2:16" ht="12.75" customHeight="1" x14ac:dyDescent="0.25">
      <c r="C146" s="156" t="s">
        <v>706</v>
      </c>
      <c r="D146" s="162">
        <v>54959</v>
      </c>
      <c r="E146" s="159">
        <v>61562.7</v>
      </c>
      <c r="F146" s="159">
        <v>63143.6</v>
      </c>
      <c r="G146" s="159">
        <v>61027.199999999997</v>
      </c>
      <c r="H146" s="230">
        <f t="shared" si="8"/>
        <v>60173.125</v>
      </c>
      <c r="I146" s="160">
        <f t="shared" si="7"/>
        <v>404.11029411764707</v>
      </c>
      <c r="J146" s="160">
        <f t="shared" si="7"/>
        <v>427.51874999999995</v>
      </c>
      <c r="K146" s="160">
        <f t="shared" si="7"/>
        <v>358.77045454545453</v>
      </c>
      <c r="L146" s="160">
        <f t="shared" si="7"/>
        <v>381.41999999999996</v>
      </c>
      <c r="P146" s="161">
        <f t="shared" si="9"/>
        <v>511.62724681483957</v>
      </c>
    </row>
    <row r="147" spans="2:16" ht="12.75" customHeight="1" x14ac:dyDescent="0.25">
      <c r="C147" s="156" t="s">
        <v>707</v>
      </c>
      <c r="D147" s="159">
        <v>72891.199999999997</v>
      </c>
      <c r="E147" s="159">
        <v>80022.3</v>
      </c>
      <c r="F147" s="159">
        <v>96491.7</v>
      </c>
      <c r="G147" s="159">
        <v>83166.3</v>
      </c>
      <c r="H147" s="230">
        <f t="shared" si="8"/>
        <v>83142.875</v>
      </c>
      <c r="I147" s="160">
        <f t="shared" si="7"/>
        <v>535.96470588235297</v>
      </c>
      <c r="J147" s="160">
        <f t="shared" si="7"/>
        <v>555.71041666666667</v>
      </c>
      <c r="K147" s="160">
        <f t="shared" si="7"/>
        <v>548.24829545454543</v>
      </c>
      <c r="L147" s="160">
        <f t="shared" si="7"/>
        <v>519.78937500000006</v>
      </c>
      <c r="P147" s="161">
        <f t="shared" si="9"/>
        <v>702.98651412266042</v>
      </c>
    </row>
    <row r="148" spans="2:16" ht="12.75" customHeight="1" x14ac:dyDescent="0.25">
      <c r="C148" s="156" t="s">
        <v>708</v>
      </c>
      <c r="D148" s="159">
        <v>106100.6</v>
      </c>
      <c r="E148" s="159">
        <v>126001.7</v>
      </c>
      <c r="F148" s="159">
        <v>107443.5</v>
      </c>
      <c r="G148" s="159">
        <v>134563.1</v>
      </c>
      <c r="H148" s="230">
        <f t="shared" si="8"/>
        <v>118527.22500000001</v>
      </c>
      <c r="I148" s="160">
        <f t="shared" si="7"/>
        <v>780.15147058823538</v>
      </c>
      <c r="J148" s="160">
        <f t="shared" si="7"/>
        <v>875.0118055555555</v>
      </c>
      <c r="K148" s="160">
        <f t="shared" si="7"/>
        <v>610.47443181818187</v>
      </c>
      <c r="L148" s="160">
        <f t="shared" si="7"/>
        <v>841.01937500000008</v>
      </c>
      <c r="P148" s="161">
        <f t="shared" si="9"/>
        <v>1011.2168805041223</v>
      </c>
    </row>
    <row r="149" spans="2:16" ht="12.75" customHeight="1" x14ac:dyDescent="0.25">
      <c r="C149" s="156" t="s">
        <v>709</v>
      </c>
      <c r="D149" s="159">
        <v>79203.100000000006</v>
      </c>
      <c r="E149" s="159">
        <v>80789.5</v>
      </c>
      <c r="F149" s="159">
        <v>90994.1</v>
      </c>
      <c r="G149" s="159">
        <v>97600.8</v>
      </c>
      <c r="H149" s="230">
        <f t="shared" si="8"/>
        <v>87146.875</v>
      </c>
      <c r="I149" s="160">
        <f t="shared" si="7"/>
        <v>582.3757352941177</v>
      </c>
      <c r="J149" s="160">
        <f t="shared" si="7"/>
        <v>561.03819444444446</v>
      </c>
      <c r="K149" s="160">
        <f t="shared" si="7"/>
        <v>517.01193181818189</v>
      </c>
      <c r="L149" s="160">
        <f t="shared" si="7"/>
        <v>610.005</v>
      </c>
      <c r="P149" s="161">
        <f t="shared" si="9"/>
        <v>739.0252454367203</v>
      </c>
    </row>
    <row r="150" spans="2:16" ht="12.75" customHeight="1" x14ac:dyDescent="0.25">
      <c r="C150" s="156" t="s">
        <v>710</v>
      </c>
      <c r="D150" s="159">
        <v>54235.6</v>
      </c>
      <c r="E150" s="159">
        <v>73848.100000000006</v>
      </c>
      <c r="F150" s="159">
        <v>88948.2</v>
      </c>
      <c r="G150" s="159">
        <v>74319.5</v>
      </c>
      <c r="H150" s="230">
        <f t="shared" si="8"/>
        <v>72837.850000000006</v>
      </c>
      <c r="I150" s="160">
        <f t="shared" ref="I150:L195" si="10">D150/I$5/8</f>
        <v>398.7911764705882</v>
      </c>
      <c r="J150" s="160">
        <f t="shared" si="10"/>
        <v>512.83402777777781</v>
      </c>
      <c r="K150" s="160">
        <f t="shared" si="10"/>
        <v>505.38749999999999</v>
      </c>
      <c r="L150" s="160">
        <f t="shared" si="10"/>
        <v>464.49687499999999</v>
      </c>
      <c r="P150" s="161">
        <f t="shared" si="9"/>
        <v>612.43136804534311</v>
      </c>
    </row>
    <row r="151" spans="2:16" ht="12.75" customHeight="1" x14ac:dyDescent="0.25">
      <c r="C151" s="156" t="s">
        <v>711</v>
      </c>
      <c r="D151" s="159">
        <v>58264.7</v>
      </c>
      <c r="E151" s="159">
        <v>61434.5</v>
      </c>
      <c r="F151" s="159">
        <v>75406.8</v>
      </c>
      <c r="G151" s="159">
        <v>89041.600000000006</v>
      </c>
      <c r="H151" s="230">
        <f t="shared" si="8"/>
        <v>71036.899999999994</v>
      </c>
      <c r="I151" s="160">
        <f t="shared" si="10"/>
        <v>428.41691176470584</v>
      </c>
      <c r="J151" s="160">
        <f t="shared" si="10"/>
        <v>426.62847222222223</v>
      </c>
      <c r="K151" s="160">
        <f t="shared" si="10"/>
        <v>428.44772727272726</v>
      </c>
      <c r="L151" s="160">
        <f t="shared" si="10"/>
        <v>556.51</v>
      </c>
      <c r="P151" s="161">
        <f t="shared" si="9"/>
        <v>598.92101271501781</v>
      </c>
    </row>
    <row r="152" spans="2:16" ht="12.75" customHeight="1" x14ac:dyDescent="0.25">
      <c r="B152" s="156" t="s">
        <v>712</v>
      </c>
      <c r="C152" s="156" t="s">
        <v>713</v>
      </c>
      <c r="D152" s="159">
        <v>45172.6</v>
      </c>
      <c r="E152" s="159">
        <v>45470.2</v>
      </c>
      <c r="F152" s="159">
        <v>47981.3</v>
      </c>
      <c r="G152" s="159">
        <v>44703.4</v>
      </c>
      <c r="H152" s="230">
        <f t="shared" si="8"/>
        <v>45831.874999999993</v>
      </c>
      <c r="I152" s="160">
        <f t="shared" si="10"/>
        <v>332.15147058823527</v>
      </c>
      <c r="J152" s="160">
        <f t="shared" si="10"/>
        <v>315.76527777777778</v>
      </c>
      <c r="K152" s="160">
        <f t="shared" si="10"/>
        <v>272.62102272727276</v>
      </c>
      <c r="L152" s="160">
        <f t="shared" si="10"/>
        <v>279.39625000000001</v>
      </c>
      <c r="P152" s="161">
        <f t="shared" si="9"/>
        <v>390.57852386586455</v>
      </c>
    </row>
    <row r="153" spans="2:16" ht="12.75" customHeight="1" x14ac:dyDescent="0.25">
      <c r="C153" s="156" t="s">
        <v>714</v>
      </c>
      <c r="D153" s="159">
        <v>41739.699999999997</v>
      </c>
      <c r="E153" s="159">
        <v>34356.9</v>
      </c>
      <c r="F153" s="159">
        <v>38308.5</v>
      </c>
      <c r="G153" s="159">
        <v>40000.1</v>
      </c>
      <c r="H153" s="230">
        <f t="shared" si="8"/>
        <v>38601.300000000003</v>
      </c>
      <c r="I153" s="160">
        <f t="shared" si="10"/>
        <v>306.90955882352938</v>
      </c>
      <c r="J153" s="160">
        <f t="shared" si="10"/>
        <v>238.58958333333334</v>
      </c>
      <c r="K153" s="160">
        <f t="shared" si="10"/>
        <v>217.66193181818181</v>
      </c>
      <c r="L153" s="160">
        <f t="shared" si="10"/>
        <v>250.00062499999999</v>
      </c>
      <c r="P153" s="161">
        <f t="shared" si="9"/>
        <v>329.78413301637698</v>
      </c>
    </row>
    <row r="154" spans="2:16" ht="12.75" customHeight="1" x14ac:dyDescent="0.25">
      <c r="C154" s="156" t="s">
        <v>715</v>
      </c>
      <c r="D154" s="159">
        <v>48562.9</v>
      </c>
      <c r="E154" s="159">
        <v>45458.400000000001</v>
      </c>
      <c r="F154" s="159">
        <v>48769.2</v>
      </c>
      <c r="G154" s="159">
        <v>48548.800000000003</v>
      </c>
      <c r="H154" s="230">
        <f t="shared" si="8"/>
        <v>47834.824999999997</v>
      </c>
      <c r="I154" s="160">
        <f t="shared" si="10"/>
        <v>357.08014705882351</v>
      </c>
      <c r="J154" s="160">
        <f t="shared" si="10"/>
        <v>315.68333333333334</v>
      </c>
      <c r="K154" s="160">
        <f t="shared" si="10"/>
        <v>277.09772727272724</v>
      </c>
      <c r="L154" s="160">
        <f t="shared" si="10"/>
        <v>303.43</v>
      </c>
      <c r="P154" s="161">
        <f t="shared" si="9"/>
        <v>407.94628809491985</v>
      </c>
    </row>
    <row r="155" spans="2:16" ht="12.75" customHeight="1" x14ac:dyDescent="0.25">
      <c r="C155" s="156" t="s">
        <v>716</v>
      </c>
      <c r="D155" s="159">
        <v>67282.3</v>
      </c>
      <c r="E155" s="159">
        <v>52260.7</v>
      </c>
      <c r="F155" s="159">
        <v>63728.7</v>
      </c>
      <c r="G155" s="159">
        <v>53314.7</v>
      </c>
      <c r="H155" s="230">
        <f t="shared" si="8"/>
        <v>59146.600000000006</v>
      </c>
      <c r="I155" s="160">
        <f t="shared" si="10"/>
        <v>494.72279411764708</v>
      </c>
      <c r="J155" s="160">
        <f t="shared" si="10"/>
        <v>362.92152777777778</v>
      </c>
      <c r="K155" s="160">
        <f t="shared" si="10"/>
        <v>362.09488636363636</v>
      </c>
      <c r="L155" s="160">
        <f t="shared" si="10"/>
        <v>333.21687499999996</v>
      </c>
      <c r="P155" s="161">
        <f t="shared" si="9"/>
        <v>505.48720510082438</v>
      </c>
    </row>
    <row r="156" spans="2:16" ht="12.75" customHeight="1" x14ac:dyDescent="0.25">
      <c r="C156" s="156" t="s">
        <v>717</v>
      </c>
      <c r="D156" s="159">
        <v>58803.8</v>
      </c>
      <c r="E156" s="159">
        <v>46752.1</v>
      </c>
      <c r="F156" s="159">
        <v>48134.400000000001</v>
      </c>
      <c r="G156" s="162">
        <v>70018</v>
      </c>
      <c r="H156" s="230">
        <f t="shared" si="8"/>
        <v>55927.074999999997</v>
      </c>
      <c r="I156" s="160">
        <f t="shared" si="10"/>
        <v>432.38088235294117</v>
      </c>
      <c r="J156" s="160">
        <f t="shared" si="10"/>
        <v>324.66736111111112</v>
      </c>
      <c r="K156" s="160">
        <f t="shared" si="10"/>
        <v>273.4909090909091</v>
      </c>
      <c r="L156" s="160">
        <f t="shared" si="10"/>
        <v>437.61250000000001</v>
      </c>
      <c r="P156" s="161">
        <f t="shared" si="9"/>
        <v>477.88336290663995</v>
      </c>
    </row>
    <row r="157" spans="2:16" ht="12.75" customHeight="1" x14ac:dyDescent="0.25">
      <c r="C157" s="156" t="s">
        <v>718</v>
      </c>
      <c r="D157" s="159">
        <v>32669.3</v>
      </c>
      <c r="E157" s="159">
        <v>30056.1</v>
      </c>
      <c r="F157" s="159">
        <v>31217.1</v>
      </c>
      <c r="G157" s="159">
        <v>34718.9</v>
      </c>
      <c r="H157" s="230">
        <f t="shared" si="8"/>
        <v>32165.35</v>
      </c>
      <c r="I157" s="160">
        <f t="shared" si="10"/>
        <v>240.21544117647059</v>
      </c>
      <c r="J157" s="160">
        <f t="shared" si="10"/>
        <v>208.72291666666666</v>
      </c>
      <c r="K157" s="160">
        <f t="shared" si="10"/>
        <v>177.36988636363637</v>
      </c>
      <c r="L157" s="160">
        <f t="shared" si="10"/>
        <v>216.99312500000002</v>
      </c>
      <c r="P157" s="161">
        <f t="shared" si="9"/>
        <v>274.49459567680481</v>
      </c>
    </row>
    <row r="158" spans="2:16" ht="12.75" customHeight="1" x14ac:dyDescent="0.25">
      <c r="C158" s="156" t="s">
        <v>719</v>
      </c>
      <c r="D158" s="159">
        <v>53799.9</v>
      </c>
      <c r="E158" s="162">
        <v>52574</v>
      </c>
      <c r="F158" s="159">
        <v>60769.4</v>
      </c>
      <c r="G158" s="159">
        <v>57464.9</v>
      </c>
      <c r="H158" s="230">
        <f t="shared" si="8"/>
        <v>56152.049999999996</v>
      </c>
      <c r="I158" s="160">
        <f t="shared" si="10"/>
        <v>395.58750000000003</v>
      </c>
      <c r="J158" s="160">
        <f t="shared" si="10"/>
        <v>365.09722222222223</v>
      </c>
      <c r="K158" s="160">
        <f t="shared" si="10"/>
        <v>345.28068181818185</v>
      </c>
      <c r="L158" s="160">
        <f t="shared" si="10"/>
        <v>359.15562499999999</v>
      </c>
      <c r="P158" s="161">
        <f t="shared" si="9"/>
        <v>476.89689495265156</v>
      </c>
    </row>
    <row r="159" spans="2:16" ht="12.75" customHeight="1" x14ac:dyDescent="0.25">
      <c r="C159" s="156" t="s">
        <v>720</v>
      </c>
      <c r="D159" s="159">
        <v>45661.8</v>
      </c>
      <c r="E159" s="159">
        <v>49598.3</v>
      </c>
      <c r="F159" s="159">
        <v>52560.2</v>
      </c>
      <c r="G159" s="159">
        <v>52287.5</v>
      </c>
      <c r="H159" s="230">
        <f t="shared" si="8"/>
        <v>50026.95</v>
      </c>
      <c r="I159" s="160">
        <f t="shared" si="10"/>
        <v>335.74852941176471</v>
      </c>
      <c r="J159" s="160">
        <f t="shared" si="10"/>
        <v>344.4326388888889</v>
      </c>
      <c r="K159" s="160">
        <f t="shared" si="10"/>
        <v>298.63749999999999</v>
      </c>
      <c r="L159" s="160">
        <f t="shared" si="10"/>
        <v>326.796875</v>
      </c>
      <c r="P159" s="161">
        <f t="shared" si="9"/>
        <v>424.97785934436274</v>
      </c>
    </row>
    <row r="160" spans="2:16" ht="12.75" customHeight="1" x14ac:dyDescent="0.25">
      <c r="C160" s="156" t="s">
        <v>721</v>
      </c>
      <c r="D160" s="159">
        <v>69117.3</v>
      </c>
      <c r="E160" s="159">
        <v>61139.6</v>
      </c>
      <c r="F160" s="159">
        <v>72908.3</v>
      </c>
      <c r="G160" s="159">
        <v>68384.800000000003</v>
      </c>
      <c r="H160" s="230">
        <f t="shared" si="8"/>
        <v>67887.5</v>
      </c>
      <c r="I160" s="160">
        <f t="shared" si="10"/>
        <v>508.21544117647062</v>
      </c>
      <c r="J160" s="160">
        <f t="shared" si="10"/>
        <v>424.58055555555552</v>
      </c>
      <c r="K160" s="160">
        <f t="shared" si="10"/>
        <v>414.25170454545457</v>
      </c>
      <c r="L160" s="160">
        <f t="shared" si="10"/>
        <v>427.40500000000003</v>
      </c>
      <c r="P160" s="161">
        <f t="shared" si="9"/>
        <v>577.58435426582002</v>
      </c>
    </row>
    <row r="161" spans="1:16" ht="12.75" customHeight="1" x14ac:dyDescent="0.25">
      <c r="A161" s="156" t="s">
        <v>722</v>
      </c>
      <c r="B161" s="156" t="s">
        <v>723</v>
      </c>
      <c r="C161" s="156" t="s">
        <v>724</v>
      </c>
      <c r="D161" s="159">
        <v>84207.2</v>
      </c>
      <c r="E161" s="159">
        <v>76195.600000000006</v>
      </c>
      <c r="F161" s="159">
        <v>78473.8</v>
      </c>
      <c r="G161" s="162">
        <v>73310</v>
      </c>
      <c r="H161" s="230">
        <f t="shared" si="8"/>
        <v>78046.649999999994</v>
      </c>
      <c r="I161" s="160">
        <f t="shared" si="10"/>
        <v>619.17058823529408</v>
      </c>
      <c r="J161" s="160">
        <f t="shared" si="10"/>
        <v>529.13611111111118</v>
      </c>
      <c r="K161" s="160">
        <f t="shared" si="10"/>
        <v>445.87386363636364</v>
      </c>
      <c r="L161" s="160">
        <f t="shared" si="10"/>
        <v>458.1875</v>
      </c>
      <c r="P161" s="161">
        <f t="shared" si="9"/>
        <v>668.04580450089134</v>
      </c>
    </row>
    <row r="162" spans="1:16" ht="12.75" customHeight="1" x14ac:dyDescent="0.25">
      <c r="C162" s="156" t="s">
        <v>725</v>
      </c>
      <c r="D162" s="159">
        <v>89604.9</v>
      </c>
      <c r="E162" s="159">
        <v>89467.1</v>
      </c>
      <c r="F162" s="159">
        <v>88535.6</v>
      </c>
      <c r="G162" s="162">
        <v>97845</v>
      </c>
      <c r="H162" s="230">
        <f t="shared" si="8"/>
        <v>91363.15</v>
      </c>
      <c r="I162" s="160">
        <f t="shared" si="10"/>
        <v>658.85955882352937</v>
      </c>
      <c r="J162" s="160">
        <f t="shared" si="10"/>
        <v>621.29930555555563</v>
      </c>
      <c r="K162" s="160">
        <f t="shared" si="10"/>
        <v>503.04318181818184</v>
      </c>
      <c r="L162" s="160">
        <f t="shared" si="10"/>
        <v>611.53125</v>
      </c>
      <c r="P162" s="161">
        <f t="shared" si="9"/>
        <v>779.48568791221044</v>
      </c>
    </row>
    <row r="163" spans="1:16" ht="12.75" customHeight="1" x14ac:dyDescent="0.25">
      <c r="C163" s="156" t="s">
        <v>726</v>
      </c>
      <c r="D163" s="159">
        <v>59234.1</v>
      </c>
      <c r="E163" s="159">
        <v>56505.2</v>
      </c>
      <c r="F163" s="159">
        <v>60958.5</v>
      </c>
      <c r="G163" s="159">
        <v>60428.5</v>
      </c>
      <c r="H163" s="230">
        <f t="shared" si="8"/>
        <v>59281.574999999997</v>
      </c>
      <c r="I163" s="160">
        <f t="shared" si="10"/>
        <v>435.54485294117649</v>
      </c>
      <c r="J163" s="160">
        <f t="shared" si="10"/>
        <v>392.39722222222218</v>
      </c>
      <c r="K163" s="160">
        <f t="shared" si="10"/>
        <v>346.35511363636363</v>
      </c>
      <c r="L163" s="160">
        <f t="shared" si="10"/>
        <v>377.67812500000002</v>
      </c>
      <c r="P163" s="161">
        <f t="shared" si="9"/>
        <v>505.16796464182261</v>
      </c>
    </row>
    <row r="164" spans="1:16" ht="12.75" customHeight="1" x14ac:dyDescent="0.25">
      <c r="C164" s="156" t="s">
        <v>727</v>
      </c>
      <c r="D164" s="159">
        <v>52494.6</v>
      </c>
      <c r="E164" s="162">
        <v>51307</v>
      </c>
      <c r="F164" s="159">
        <v>54751.199999999997</v>
      </c>
      <c r="G164" s="159">
        <v>57652.5</v>
      </c>
      <c r="H164" s="230">
        <f t="shared" si="8"/>
        <v>54051.324999999997</v>
      </c>
      <c r="I164" s="160">
        <f t="shared" si="10"/>
        <v>385.98970588235295</v>
      </c>
      <c r="J164" s="160">
        <f t="shared" si="10"/>
        <v>356.29861111111109</v>
      </c>
      <c r="K164" s="160">
        <f t="shared" si="10"/>
        <v>311.08636363636361</v>
      </c>
      <c r="L164" s="160">
        <f t="shared" si="10"/>
        <v>360.328125</v>
      </c>
      <c r="P164" s="161">
        <f t="shared" si="9"/>
        <v>460.16026323250895</v>
      </c>
    </row>
    <row r="165" spans="1:16" ht="12.75" customHeight="1" x14ac:dyDescent="0.25">
      <c r="C165" s="156" t="s">
        <v>728</v>
      </c>
      <c r="D165" s="159">
        <v>104707.1</v>
      </c>
      <c r="E165" s="159">
        <v>107355.1</v>
      </c>
      <c r="F165" s="159">
        <v>107469.5</v>
      </c>
      <c r="G165" s="159">
        <v>123819.5</v>
      </c>
      <c r="H165" s="230">
        <f t="shared" si="8"/>
        <v>110837.8</v>
      </c>
      <c r="I165" s="160">
        <f t="shared" si="10"/>
        <v>769.90514705882356</v>
      </c>
      <c r="J165" s="160">
        <f t="shared" si="10"/>
        <v>745.52152777777781</v>
      </c>
      <c r="K165" s="160">
        <f t="shared" si="10"/>
        <v>610.62215909090912</v>
      </c>
      <c r="L165" s="160">
        <f t="shared" si="10"/>
        <v>773.87187500000005</v>
      </c>
      <c r="P165" s="161">
        <f t="shared" si="9"/>
        <v>943.92419075590476</v>
      </c>
    </row>
    <row r="166" spans="1:16" ht="12.75" customHeight="1" x14ac:dyDescent="0.25">
      <c r="B166" s="156" t="s">
        <v>729</v>
      </c>
      <c r="C166" s="156" t="s">
        <v>730</v>
      </c>
      <c r="D166" s="159">
        <v>70019.5</v>
      </c>
      <c r="E166" s="159">
        <v>68209.100000000006</v>
      </c>
      <c r="F166" s="159">
        <v>69473.100000000006</v>
      </c>
      <c r="G166" s="159">
        <v>63021.9</v>
      </c>
      <c r="H166" s="230">
        <f t="shared" si="8"/>
        <v>67680.900000000009</v>
      </c>
      <c r="I166" s="160">
        <f t="shared" si="10"/>
        <v>514.84926470588232</v>
      </c>
      <c r="J166" s="160">
        <f t="shared" si="10"/>
        <v>473.67430555555558</v>
      </c>
      <c r="K166" s="160">
        <f t="shared" si="10"/>
        <v>394.73352272727277</v>
      </c>
      <c r="L166" s="160">
        <f t="shared" si="10"/>
        <v>393.88687500000003</v>
      </c>
      <c r="P166" s="161">
        <f t="shared" si="9"/>
        <v>578.46036158032541</v>
      </c>
    </row>
    <row r="167" spans="1:16" ht="12.75" customHeight="1" x14ac:dyDescent="0.25">
      <c r="C167" s="156" t="s">
        <v>731</v>
      </c>
      <c r="D167" s="159">
        <v>134866.20000000001</v>
      </c>
      <c r="E167" s="159">
        <v>238597.5</v>
      </c>
      <c r="F167" s="159">
        <v>153109.70000000001</v>
      </c>
      <c r="G167" s="159">
        <v>155604.79999999999</v>
      </c>
      <c r="H167" s="230">
        <f t="shared" si="8"/>
        <v>170544.55</v>
      </c>
      <c r="I167" s="160">
        <f t="shared" si="10"/>
        <v>991.66323529411773</v>
      </c>
      <c r="J167" s="160">
        <f t="shared" si="10"/>
        <v>1656.9270833333333</v>
      </c>
      <c r="K167" s="160">
        <f t="shared" si="10"/>
        <v>869.9414772727273</v>
      </c>
      <c r="L167" s="160">
        <f t="shared" si="10"/>
        <v>972.53</v>
      </c>
      <c r="P167" s="161">
        <f t="shared" si="9"/>
        <v>1461.8406145655081</v>
      </c>
    </row>
    <row r="168" spans="1:16" ht="12.75" customHeight="1" x14ac:dyDescent="0.25">
      <c r="C168" s="156" t="s">
        <v>732</v>
      </c>
      <c r="D168" s="159">
        <v>32382.400000000001</v>
      </c>
      <c r="E168" s="159">
        <v>35023.5</v>
      </c>
      <c r="F168" s="159">
        <v>37036.6</v>
      </c>
      <c r="G168" s="159">
        <v>42419.4</v>
      </c>
      <c r="H168" s="230">
        <f t="shared" si="8"/>
        <v>36715.474999999999</v>
      </c>
      <c r="I168" s="160">
        <f t="shared" si="10"/>
        <v>238.10588235294119</v>
      </c>
      <c r="J168" s="160">
        <f t="shared" si="10"/>
        <v>243.21875</v>
      </c>
      <c r="K168" s="160">
        <f t="shared" si="10"/>
        <v>210.43522727272727</v>
      </c>
      <c r="L168" s="160">
        <f t="shared" si="10"/>
        <v>265.12125000000003</v>
      </c>
      <c r="P168" s="161">
        <f t="shared" si="9"/>
        <v>311.46480118315509</v>
      </c>
    </row>
    <row r="169" spans="1:16" ht="12.75" customHeight="1" x14ac:dyDescent="0.25">
      <c r="C169" s="156" t="s">
        <v>733</v>
      </c>
      <c r="D169" s="159">
        <v>57703.9</v>
      </c>
      <c r="E169" s="162">
        <v>55964</v>
      </c>
      <c r="F169" s="159">
        <v>67043.899999999994</v>
      </c>
      <c r="G169" s="159">
        <v>70790.7</v>
      </c>
      <c r="H169" s="230">
        <f t="shared" si="8"/>
        <v>62875.625</v>
      </c>
      <c r="I169" s="160">
        <f t="shared" si="10"/>
        <v>424.29338235294119</v>
      </c>
      <c r="J169" s="160">
        <f t="shared" si="10"/>
        <v>388.63888888888891</v>
      </c>
      <c r="K169" s="160">
        <f t="shared" si="10"/>
        <v>380.93124999999998</v>
      </c>
      <c r="L169" s="160">
        <f t="shared" si="10"/>
        <v>442.44187499999998</v>
      </c>
      <c r="P169" s="161">
        <f t="shared" si="9"/>
        <v>532.6174064767157</v>
      </c>
    </row>
    <row r="170" spans="1:16" ht="12.75" customHeight="1" x14ac:dyDescent="0.25">
      <c r="B170" s="156" t="s">
        <v>734</v>
      </c>
      <c r="C170" s="156" t="s">
        <v>735</v>
      </c>
      <c r="D170" s="159">
        <v>146791.4</v>
      </c>
      <c r="E170" s="162">
        <v>141602</v>
      </c>
      <c r="F170" s="159">
        <v>161722.6</v>
      </c>
      <c r="G170" s="159">
        <v>152161.29999999999</v>
      </c>
      <c r="H170" s="230">
        <f t="shared" si="8"/>
        <v>150569.32500000001</v>
      </c>
      <c r="I170" s="160">
        <f t="shared" si="10"/>
        <v>1079.3485294117647</v>
      </c>
      <c r="J170" s="160">
        <f t="shared" si="10"/>
        <v>983.34722222222217</v>
      </c>
      <c r="K170" s="160">
        <f t="shared" si="10"/>
        <v>918.87840909090914</v>
      </c>
      <c r="L170" s="160">
        <f t="shared" si="10"/>
        <v>951.00812499999995</v>
      </c>
      <c r="P170" s="161">
        <f t="shared" si="9"/>
        <v>1280.0555340034539</v>
      </c>
    </row>
    <row r="171" spans="1:16" ht="12.75" customHeight="1" x14ac:dyDescent="0.25">
      <c r="C171" s="156" t="s">
        <v>736</v>
      </c>
      <c r="D171" s="162">
        <v>110446</v>
      </c>
      <c r="E171" s="159">
        <v>115507.4</v>
      </c>
      <c r="F171" s="159">
        <v>111204.3</v>
      </c>
      <c r="G171" s="159">
        <v>137849.5</v>
      </c>
      <c r="H171" s="230">
        <f t="shared" si="8"/>
        <v>118751.8</v>
      </c>
      <c r="I171" s="160">
        <f t="shared" si="10"/>
        <v>812.10294117647061</v>
      </c>
      <c r="J171" s="160">
        <f t="shared" si="10"/>
        <v>802.13472222222219</v>
      </c>
      <c r="K171" s="160">
        <f t="shared" si="10"/>
        <v>631.84261363636369</v>
      </c>
      <c r="L171" s="160">
        <f t="shared" si="10"/>
        <v>861.55937500000005</v>
      </c>
      <c r="P171" s="161">
        <f t="shared" si="9"/>
        <v>1011.5367067374109</v>
      </c>
    </row>
    <row r="172" spans="1:16" ht="12.75" customHeight="1" x14ac:dyDescent="0.25">
      <c r="B172" s="156" t="s">
        <v>737</v>
      </c>
      <c r="C172" s="156" t="s">
        <v>738</v>
      </c>
      <c r="D172" s="159">
        <v>54058.9</v>
      </c>
      <c r="E172" s="159">
        <v>58051.7</v>
      </c>
      <c r="F172" s="159">
        <v>58738.2</v>
      </c>
      <c r="G172" s="159">
        <v>58420.2</v>
      </c>
      <c r="H172" s="230">
        <f t="shared" si="8"/>
        <v>57317.25</v>
      </c>
      <c r="I172" s="160">
        <f t="shared" si="10"/>
        <v>397.49191176470589</v>
      </c>
      <c r="J172" s="160">
        <f t="shared" si="10"/>
        <v>403.13680555555555</v>
      </c>
      <c r="K172" s="160">
        <f t="shared" si="10"/>
        <v>333.73977272727274</v>
      </c>
      <c r="L172" s="160">
        <f t="shared" si="10"/>
        <v>365.12624999999997</v>
      </c>
      <c r="P172" s="161">
        <f t="shared" si="9"/>
        <v>488.08553788547238</v>
      </c>
    </row>
    <row r="173" spans="1:16" ht="12.75" customHeight="1" x14ac:dyDescent="0.25">
      <c r="C173" s="156" t="s">
        <v>739</v>
      </c>
      <c r="D173" s="162">
        <v>68635</v>
      </c>
      <c r="E173" s="159">
        <v>67227.8</v>
      </c>
      <c r="F173" s="159">
        <v>73236.100000000006</v>
      </c>
      <c r="G173" s="159">
        <v>74195.100000000006</v>
      </c>
      <c r="H173" s="230">
        <f t="shared" si="8"/>
        <v>70823.5</v>
      </c>
      <c r="I173" s="160">
        <f t="shared" si="10"/>
        <v>504.66911764705884</v>
      </c>
      <c r="J173" s="160">
        <f t="shared" si="10"/>
        <v>466.85972222222222</v>
      </c>
      <c r="K173" s="160">
        <f t="shared" si="10"/>
        <v>416.11420454545458</v>
      </c>
      <c r="L173" s="160">
        <f t="shared" si="10"/>
        <v>463.71937500000001</v>
      </c>
      <c r="P173" s="161">
        <f t="shared" si="9"/>
        <v>602.61846751949645</v>
      </c>
    </row>
    <row r="174" spans="1:16" ht="12.75" customHeight="1" x14ac:dyDescent="0.25">
      <c r="B174" s="156" t="s">
        <v>740</v>
      </c>
      <c r="C174" s="156" t="s">
        <v>741</v>
      </c>
      <c r="D174" s="159">
        <v>39251.300000000003</v>
      </c>
      <c r="E174" s="159">
        <v>36438.5</v>
      </c>
      <c r="F174" s="159">
        <v>35235.9</v>
      </c>
      <c r="G174" s="159">
        <v>34108.6</v>
      </c>
      <c r="H174" s="230">
        <f t="shared" si="8"/>
        <v>36258.575000000004</v>
      </c>
      <c r="I174" s="160">
        <f t="shared" si="10"/>
        <v>288.61250000000001</v>
      </c>
      <c r="J174" s="160">
        <f t="shared" si="10"/>
        <v>253.04513888888889</v>
      </c>
      <c r="K174" s="160">
        <f t="shared" si="10"/>
        <v>200.20397727272729</v>
      </c>
      <c r="L174" s="160">
        <f t="shared" si="10"/>
        <v>213.17874999999998</v>
      </c>
      <c r="P174" s="161">
        <f t="shared" si="9"/>
        <v>310.86563918560608</v>
      </c>
    </row>
    <row r="175" spans="1:16" ht="12.75" customHeight="1" x14ac:dyDescent="0.25">
      <c r="C175" s="156" t="s">
        <v>742</v>
      </c>
      <c r="D175" s="159">
        <v>55750.2</v>
      </c>
      <c r="E175" s="159">
        <v>55994.7</v>
      </c>
      <c r="F175" s="159">
        <v>59017.3</v>
      </c>
      <c r="G175" s="162">
        <v>56283</v>
      </c>
      <c r="H175" s="230">
        <f t="shared" si="8"/>
        <v>56761.3</v>
      </c>
      <c r="I175" s="160">
        <f t="shared" si="10"/>
        <v>409.92794117647054</v>
      </c>
      <c r="J175" s="160">
        <f t="shared" si="10"/>
        <v>388.85208333333333</v>
      </c>
      <c r="K175" s="160">
        <f t="shared" si="10"/>
        <v>335.3255681818182</v>
      </c>
      <c r="L175" s="160">
        <f t="shared" si="10"/>
        <v>351.76875000000001</v>
      </c>
      <c r="P175" s="161">
        <f t="shared" si="9"/>
        <v>483.65209854612294</v>
      </c>
    </row>
    <row r="176" spans="1:16" ht="12.75" customHeight="1" x14ac:dyDescent="0.25">
      <c r="A176" s="156" t="s">
        <v>743</v>
      </c>
      <c r="B176" s="156" t="s">
        <v>744</v>
      </c>
      <c r="C176" s="156" t="s">
        <v>745</v>
      </c>
      <c r="D176" s="159">
        <v>55244.4</v>
      </c>
      <c r="E176" s="159">
        <v>51152.4</v>
      </c>
      <c r="F176" s="159">
        <v>55374.8</v>
      </c>
      <c r="G176" s="159">
        <v>53555.9</v>
      </c>
      <c r="H176" s="230">
        <f t="shared" si="8"/>
        <v>53831.875</v>
      </c>
      <c r="I176" s="160">
        <f t="shared" si="10"/>
        <v>406.2088235294118</v>
      </c>
      <c r="J176" s="160">
        <f t="shared" si="10"/>
        <v>355.22500000000002</v>
      </c>
      <c r="K176" s="160">
        <f t="shared" si="10"/>
        <v>314.62954545454545</v>
      </c>
      <c r="L176" s="160">
        <f t="shared" si="10"/>
        <v>334.72437500000001</v>
      </c>
      <c r="P176" s="161">
        <f t="shared" si="9"/>
        <v>459.21141066677814</v>
      </c>
    </row>
    <row r="177" spans="1:16" ht="12.75" customHeight="1" x14ac:dyDescent="0.25">
      <c r="C177" s="156" t="s">
        <v>746</v>
      </c>
      <c r="D177" s="159">
        <v>42675.6</v>
      </c>
      <c r="E177" s="159">
        <v>49977.599999999999</v>
      </c>
      <c r="F177" s="159">
        <v>40331.599999999999</v>
      </c>
      <c r="G177" s="159">
        <v>42018.400000000001</v>
      </c>
      <c r="H177" s="230">
        <f t="shared" si="8"/>
        <v>43750.799999999996</v>
      </c>
      <c r="I177" s="160">
        <f t="shared" si="10"/>
        <v>313.7911764705882</v>
      </c>
      <c r="J177" s="160">
        <f t="shared" si="10"/>
        <v>347.06666666666666</v>
      </c>
      <c r="K177" s="160">
        <f t="shared" si="10"/>
        <v>229.15681818181818</v>
      </c>
      <c r="L177" s="160">
        <f t="shared" si="10"/>
        <v>262.61500000000001</v>
      </c>
      <c r="P177" s="161">
        <f t="shared" si="9"/>
        <v>375.18095475935826</v>
      </c>
    </row>
    <row r="178" spans="1:16" ht="12.75" customHeight="1" x14ac:dyDescent="0.25">
      <c r="C178" s="156" t="s">
        <v>747</v>
      </c>
      <c r="D178" s="159">
        <v>26805.1</v>
      </c>
      <c r="E178" s="159">
        <v>25898.5</v>
      </c>
      <c r="F178" s="159">
        <v>25036.799999999999</v>
      </c>
      <c r="G178" s="159">
        <v>25420.400000000001</v>
      </c>
      <c r="H178" s="230">
        <f t="shared" si="8"/>
        <v>25790.199999999997</v>
      </c>
      <c r="I178" s="160">
        <f t="shared" si="10"/>
        <v>197.09632352941176</v>
      </c>
      <c r="J178" s="160">
        <f t="shared" si="10"/>
        <v>179.85069444444446</v>
      </c>
      <c r="K178" s="160">
        <f t="shared" si="10"/>
        <v>142.25454545454545</v>
      </c>
      <c r="L178" s="160">
        <f t="shared" si="10"/>
        <v>158.8775</v>
      </c>
      <c r="P178" s="161">
        <f t="shared" si="9"/>
        <v>220.71473514594476</v>
      </c>
    </row>
    <row r="179" spans="1:16" ht="12.75" customHeight="1" x14ac:dyDescent="0.25">
      <c r="C179" s="156" t="s">
        <v>748</v>
      </c>
      <c r="D179" s="159">
        <v>44767.5</v>
      </c>
      <c r="E179" s="162">
        <v>42870</v>
      </c>
      <c r="F179" s="159">
        <v>46128.7</v>
      </c>
      <c r="G179" s="159">
        <v>44489.7</v>
      </c>
      <c r="H179" s="230">
        <f t="shared" si="8"/>
        <v>44563.975000000006</v>
      </c>
      <c r="I179" s="160">
        <f t="shared" si="10"/>
        <v>329.17279411764707</v>
      </c>
      <c r="J179" s="160">
        <f t="shared" si="10"/>
        <v>297.70833333333331</v>
      </c>
      <c r="K179" s="160">
        <f t="shared" si="10"/>
        <v>262.09488636363636</v>
      </c>
      <c r="L179" s="160">
        <f t="shared" si="10"/>
        <v>278.06062499999996</v>
      </c>
      <c r="P179" s="161">
        <f t="shared" si="9"/>
        <v>379.87042593415777</v>
      </c>
    </row>
    <row r="180" spans="1:16" ht="12.75" customHeight="1" x14ac:dyDescent="0.25">
      <c r="B180" s="156" t="s">
        <v>749</v>
      </c>
      <c r="C180" s="156" t="s">
        <v>750</v>
      </c>
      <c r="D180" s="159">
        <v>38040.1</v>
      </c>
      <c r="E180" s="159">
        <v>34198.9</v>
      </c>
      <c r="F180" s="159">
        <v>36062.699999999997</v>
      </c>
      <c r="G180" s="159">
        <v>35183.300000000003</v>
      </c>
      <c r="H180" s="230">
        <f t="shared" si="8"/>
        <v>35871.25</v>
      </c>
      <c r="I180" s="160">
        <f t="shared" si="10"/>
        <v>279.70661764705881</v>
      </c>
      <c r="J180" s="160">
        <f t="shared" si="10"/>
        <v>237.49236111111111</v>
      </c>
      <c r="K180" s="160">
        <f t="shared" si="10"/>
        <v>204.90170454545452</v>
      </c>
      <c r="L180" s="160">
        <f t="shared" si="10"/>
        <v>219.89562500000002</v>
      </c>
      <c r="P180" s="161">
        <f t="shared" si="9"/>
        <v>306.61979835282978</v>
      </c>
    </row>
    <row r="181" spans="1:16" ht="12.75" customHeight="1" x14ac:dyDescent="0.25">
      <c r="C181" s="156" t="s">
        <v>751</v>
      </c>
      <c r="D181" s="159">
        <v>40030.9</v>
      </c>
      <c r="E181" s="159">
        <v>39157.699999999997</v>
      </c>
      <c r="F181" s="159">
        <v>41445.699999999997</v>
      </c>
      <c r="G181" s="159">
        <v>40899.800000000003</v>
      </c>
      <c r="H181" s="230">
        <f t="shared" si="8"/>
        <v>40383.525000000001</v>
      </c>
      <c r="I181" s="160">
        <f t="shared" si="10"/>
        <v>294.3448529411765</v>
      </c>
      <c r="J181" s="160">
        <f t="shared" si="10"/>
        <v>271.92847222222218</v>
      </c>
      <c r="K181" s="160">
        <f t="shared" si="10"/>
        <v>235.4869318181818</v>
      </c>
      <c r="L181" s="160">
        <f t="shared" si="10"/>
        <v>255.62375000000003</v>
      </c>
      <c r="P181" s="161">
        <f t="shared" si="9"/>
        <v>344.17849427250451</v>
      </c>
    </row>
    <row r="182" spans="1:16" ht="12.75" customHeight="1" x14ac:dyDescent="0.25">
      <c r="A182" s="223"/>
      <c r="C182" s="156" t="s">
        <v>752</v>
      </c>
      <c r="D182" s="159">
        <v>26243.1</v>
      </c>
      <c r="E182" s="159">
        <v>25985.8</v>
      </c>
      <c r="F182" s="159">
        <v>27059.8</v>
      </c>
      <c r="G182" s="162">
        <v>27380</v>
      </c>
      <c r="H182" s="230">
        <f t="shared" si="8"/>
        <v>26667.174999999999</v>
      </c>
      <c r="I182" s="160">
        <f t="shared" si="10"/>
        <v>192.96397058823527</v>
      </c>
      <c r="J182" s="160">
        <f t="shared" si="10"/>
        <v>180.45694444444445</v>
      </c>
      <c r="K182" s="160">
        <f t="shared" si="10"/>
        <v>153.74886363636364</v>
      </c>
      <c r="L182" s="160">
        <f t="shared" si="10"/>
        <v>171.125</v>
      </c>
      <c r="P182" s="161">
        <f t="shared" si="9"/>
        <v>227.29495045677362</v>
      </c>
    </row>
    <row r="183" spans="1:16" ht="12.75" customHeight="1" x14ac:dyDescent="0.25">
      <c r="A183" s="156" t="s">
        <v>753</v>
      </c>
      <c r="B183" s="156" t="s">
        <v>754</v>
      </c>
      <c r="C183" s="156" t="s">
        <v>755</v>
      </c>
      <c r="D183" s="162">
        <v>54087</v>
      </c>
      <c r="E183" s="159">
        <v>54920.6</v>
      </c>
      <c r="F183" s="159">
        <v>55757.8</v>
      </c>
      <c r="G183" s="159">
        <v>67440.3</v>
      </c>
      <c r="H183" s="230">
        <f t="shared" si="8"/>
        <v>58051.425000000003</v>
      </c>
      <c r="I183" s="160">
        <f t="shared" si="10"/>
        <v>397.6985294117647</v>
      </c>
      <c r="J183" s="160">
        <f t="shared" si="10"/>
        <v>381.39305555555552</v>
      </c>
      <c r="K183" s="160">
        <f t="shared" si="10"/>
        <v>316.80568181818182</v>
      </c>
      <c r="L183" s="160">
        <f t="shared" si="10"/>
        <v>421.50187500000004</v>
      </c>
      <c r="P183" s="161">
        <f t="shared" si="9"/>
        <v>493.91342065118084</v>
      </c>
    </row>
    <row r="184" spans="1:16" ht="12.75" customHeight="1" x14ac:dyDescent="0.25">
      <c r="C184" s="156" t="s">
        <v>756</v>
      </c>
      <c r="D184" s="159">
        <v>75871.899999999994</v>
      </c>
      <c r="E184" s="159">
        <v>88204.3</v>
      </c>
      <c r="F184" s="159">
        <v>89351.1</v>
      </c>
      <c r="G184" s="159">
        <v>96306.9</v>
      </c>
      <c r="H184" s="230">
        <f t="shared" si="8"/>
        <v>87433.55</v>
      </c>
      <c r="I184" s="160">
        <f t="shared" si="10"/>
        <v>557.88161764705876</v>
      </c>
      <c r="J184" s="160">
        <f t="shared" si="10"/>
        <v>612.52986111111113</v>
      </c>
      <c r="K184" s="160">
        <f t="shared" si="10"/>
        <v>507.67670454545458</v>
      </c>
      <c r="L184" s="160">
        <f t="shared" si="10"/>
        <v>601.91812499999992</v>
      </c>
      <c r="P184" s="161">
        <f t="shared" si="9"/>
        <v>742.14205335282975</v>
      </c>
    </row>
    <row r="185" spans="1:16" ht="12.75" customHeight="1" x14ac:dyDescent="0.25">
      <c r="B185" s="156" t="s">
        <v>757</v>
      </c>
      <c r="C185" s="156" t="s">
        <v>758</v>
      </c>
      <c r="D185" s="159">
        <v>82754.5</v>
      </c>
      <c r="E185" s="159">
        <v>74285.399999999994</v>
      </c>
      <c r="F185" s="159">
        <v>94560.4</v>
      </c>
      <c r="G185" s="159">
        <v>78989.100000000006</v>
      </c>
      <c r="H185" s="230">
        <f t="shared" si="8"/>
        <v>82647.350000000006</v>
      </c>
      <c r="I185" s="160">
        <f t="shared" si="10"/>
        <v>608.48897058823525</v>
      </c>
      <c r="J185" s="160">
        <f t="shared" si="10"/>
        <v>515.87083333333328</v>
      </c>
      <c r="K185" s="160">
        <f t="shared" si="10"/>
        <v>537.27499999999998</v>
      </c>
      <c r="L185" s="160">
        <f t="shared" si="10"/>
        <v>493.68187500000005</v>
      </c>
      <c r="P185" s="161">
        <f t="shared" si="9"/>
        <v>701.55557898897064</v>
      </c>
    </row>
    <row r="186" spans="1:16" ht="12.75" customHeight="1" x14ac:dyDescent="0.25">
      <c r="C186" s="156" t="s">
        <v>759</v>
      </c>
      <c r="D186" s="159">
        <v>76877.399999999994</v>
      </c>
      <c r="E186" s="162">
        <v>78780</v>
      </c>
      <c r="F186" s="162">
        <v>75841</v>
      </c>
      <c r="G186" s="159">
        <v>145555.5</v>
      </c>
      <c r="H186" s="230">
        <f t="shared" si="8"/>
        <v>94263.475000000006</v>
      </c>
      <c r="I186" s="160">
        <f t="shared" si="10"/>
        <v>565.27499999999998</v>
      </c>
      <c r="J186" s="160">
        <f t="shared" si="10"/>
        <v>547.08333333333337</v>
      </c>
      <c r="K186" s="160">
        <f t="shared" si="10"/>
        <v>430.91477272727275</v>
      </c>
      <c r="L186" s="160">
        <f t="shared" si="10"/>
        <v>909.72187499999995</v>
      </c>
      <c r="P186" s="161">
        <f t="shared" si="9"/>
        <v>798.44986633522717</v>
      </c>
    </row>
    <row r="187" spans="1:16" ht="12.75" customHeight="1" x14ac:dyDescent="0.25">
      <c r="B187" s="156" t="s">
        <v>760</v>
      </c>
      <c r="C187" s="156" t="s">
        <v>761</v>
      </c>
      <c r="D187" s="159">
        <v>56707.9</v>
      </c>
      <c r="E187" s="162">
        <v>62759</v>
      </c>
      <c r="F187" s="162">
        <v>60222</v>
      </c>
      <c r="G187" s="159">
        <v>72207.399999999994</v>
      </c>
      <c r="H187" s="230">
        <f t="shared" si="8"/>
        <v>62974.074999999997</v>
      </c>
      <c r="I187" s="160">
        <f t="shared" si="10"/>
        <v>416.9698529411765</v>
      </c>
      <c r="J187" s="160">
        <f t="shared" si="10"/>
        <v>435.82638888888891</v>
      </c>
      <c r="K187" s="160">
        <f t="shared" si="10"/>
        <v>342.17045454545456</v>
      </c>
      <c r="L187" s="160">
        <f t="shared" si="10"/>
        <v>451.29624999999999</v>
      </c>
      <c r="P187" s="161">
        <f t="shared" si="9"/>
        <v>535.85858904523172</v>
      </c>
    </row>
    <row r="188" spans="1:16" ht="12.75" customHeight="1" x14ac:dyDescent="0.25">
      <c r="C188" s="156" t="s">
        <v>762</v>
      </c>
      <c r="D188" s="159">
        <v>90527.3</v>
      </c>
      <c r="E188" s="159">
        <v>89073.3</v>
      </c>
      <c r="F188" s="159">
        <v>93806.6</v>
      </c>
      <c r="G188" s="162">
        <v>97499</v>
      </c>
      <c r="H188" s="230">
        <f t="shared" si="8"/>
        <v>92726.55</v>
      </c>
      <c r="I188" s="160">
        <f t="shared" si="10"/>
        <v>665.64191176470592</v>
      </c>
      <c r="J188" s="160">
        <f t="shared" si="10"/>
        <v>618.5645833333333</v>
      </c>
      <c r="K188" s="160">
        <f t="shared" si="10"/>
        <v>532.99204545454552</v>
      </c>
      <c r="L188" s="160">
        <f t="shared" si="10"/>
        <v>609.36874999999998</v>
      </c>
      <c r="P188" s="161">
        <f t="shared" si="9"/>
        <v>789.84765307486634</v>
      </c>
    </row>
    <row r="189" spans="1:16" ht="12.75" customHeight="1" x14ac:dyDescent="0.25">
      <c r="B189" s="156" t="s">
        <v>763</v>
      </c>
      <c r="C189" s="156" t="s">
        <v>764</v>
      </c>
      <c r="D189" s="159">
        <v>71859.100000000006</v>
      </c>
      <c r="E189" s="162">
        <v>76491</v>
      </c>
      <c r="F189" s="159">
        <v>102274.1</v>
      </c>
      <c r="G189" s="162">
        <v>78258</v>
      </c>
      <c r="H189" s="230">
        <f t="shared" si="8"/>
        <v>82220.55</v>
      </c>
      <c r="I189" s="160">
        <f t="shared" si="10"/>
        <v>528.3757352941177</v>
      </c>
      <c r="J189" s="160">
        <f t="shared" si="10"/>
        <v>531.1875</v>
      </c>
      <c r="K189" s="160">
        <f t="shared" si="10"/>
        <v>581.1028409090909</v>
      </c>
      <c r="L189" s="160">
        <f t="shared" si="10"/>
        <v>489.11250000000001</v>
      </c>
      <c r="P189" s="161">
        <f t="shared" si="9"/>
        <v>693.24292655414445</v>
      </c>
    </row>
    <row r="190" spans="1:16" ht="12.75" customHeight="1" x14ac:dyDescent="0.25">
      <c r="C190" s="156" t="s">
        <v>765</v>
      </c>
      <c r="D190" s="159">
        <v>89267.9</v>
      </c>
      <c r="E190" s="159">
        <v>115908.1</v>
      </c>
      <c r="F190" s="159">
        <v>190161.5</v>
      </c>
      <c r="G190" s="159">
        <v>97084.1</v>
      </c>
      <c r="H190" s="230">
        <f t="shared" si="8"/>
        <v>123105.4</v>
      </c>
      <c r="I190" s="160">
        <f t="shared" si="10"/>
        <v>656.38161764705876</v>
      </c>
      <c r="J190" s="160">
        <f t="shared" si="10"/>
        <v>804.91736111111118</v>
      </c>
      <c r="K190" s="160">
        <f t="shared" si="10"/>
        <v>1080.4630681818182</v>
      </c>
      <c r="L190" s="160">
        <f t="shared" si="10"/>
        <v>606.77562499999999</v>
      </c>
      <c r="P190" s="161">
        <f t="shared" si="9"/>
        <v>1024.8490122164662</v>
      </c>
    </row>
    <row r="191" spans="1:16" ht="12.75" customHeight="1" x14ac:dyDescent="0.25">
      <c r="C191" s="156" t="s">
        <v>766</v>
      </c>
      <c r="D191" s="159">
        <v>107454.7</v>
      </c>
      <c r="E191" s="159">
        <v>103450.2</v>
      </c>
      <c r="F191" s="162">
        <v>111289</v>
      </c>
      <c r="G191" s="159">
        <v>141327.9</v>
      </c>
      <c r="H191" s="230">
        <f t="shared" si="8"/>
        <v>115880.45000000001</v>
      </c>
      <c r="I191" s="160">
        <f t="shared" si="10"/>
        <v>790.10808823529408</v>
      </c>
      <c r="J191" s="160">
        <f t="shared" si="10"/>
        <v>718.4041666666667</v>
      </c>
      <c r="K191" s="160">
        <f t="shared" si="10"/>
        <v>632.32386363636363</v>
      </c>
      <c r="L191" s="160">
        <f t="shared" si="10"/>
        <v>883.29937499999994</v>
      </c>
      <c r="P191" s="161">
        <f t="shared" si="9"/>
        <v>984.35610314672454</v>
      </c>
    </row>
    <row r="192" spans="1:16" ht="12.75" customHeight="1" x14ac:dyDescent="0.25">
      <c r="C192" s="156" t="s">
        <v>767</v>
      </c>
      <c r="D192" s="159">
        <v>102350.7</v>
      </c>
      <c r="E192" s="159">
        <v>93367.9</v>
      </c>
      <c r="F192" s="159">
        <v>112758.2</v>
      </c>
      <c r="G192" s="159">
        <v>115781.8</v>
      </c>
      <c r="H192" s="230">
        <f t="shared" si="8"/>
        <v>106064.65</v>
      </c>
      <c r="I192" s="160">
        <f t="shared" si="10"/>
        <v>752.57867647058822</v>
      </c>
      <c r="J192" s="160">
        <f t="shared" si="10"/>
        <v>648.38819444444437</v>
      </c>
      <c r="K192" s="160">
        <f t="shared" si="10"/>
        <v>640.67159090909092</v>
      </c>
      <c r="L192" s="160">
        <f t="shared" si="10"/>
        <v>723.63625000000002</v>
      </c>
      <c r="P192" s="161">
        <f t="shared" si="9"/>
        <v>900.09691869875223</v>
      </c>
    </row>
    <row r="193" spans="1:16" ht="12.75" customHeight="1" x14ac:dyDescent="0.25">
      <c r="B193" s="156" t="s">
        <v>768</v>
      </c>
      <c r="C193" s="156" t="s">
        <v>769</v>
      </c>
      <c r="D193" s="159">
        <v>143303.5</v>
      </c>
      <c r="E193" s="159">
        <v>156989.29999999999</v>
      </c>
      <c r="F193" s="162">
        <v>165672</v>
      </c>
      <c r="G193" s="159">
        <v>161223.79999999999</v>
      </c>
      <c r="H193" s="230">
        <f t="shared" si="8"/>
        <v>156797.15</v>
      </c>
      <c r="I193" s="160">
        <f t="shared" si="10"/>
        <v>1053.7022058823529</v>
      </c>
      <c r="J193" s="160">
        <f t="shared" si="10"/>
        <v>1090.2034722222222</v>
      </c>
      <c r="K193" s="160">
        <f t="shared" si="10"/>
        <v>941.31818181818187</v>
      </c>
      <c r="L193" s="160">
        <f t="shared" si="10"/>
        <v>1007.6487499999999</v>
      </c>
      <c r="P193" s="161">
        <f t="shared" si="9"/>
        <v>1332.2300345298574</v>
      </c>
    </row>
    <row r="194" spans="1:16" ht="12.75" customHeight="1" x14ac:dyDescent="0.25">
      <c r="B194" s="156" t="s">
        <v>770</v>
      </c>
      <c r="C194" s="156" t="s">
        <v>771</v>
      </c>
      <c r="D194" s="159">
        <v>116943.9</v>
      </c>
      <c r="E194" s="159">
        <v>102949.9</v>
      </c>
      <c r="F194" s="159">
        <v>117728.9</v>
      </c>
      <c r="G194" s="159">
        <v>121928.1</v>
      </c>
      <c r="H194" s="230">
        <f t="shared" si="8"/>
        <v>114887.69999999998</v>
      </c>
      <c r="I194" s="160">
        <f t="shared" si="10"/>
        <v>859.88161764705876</v>
      </c>
      <c r="J194" s="160">
        <f t="shared" si="10"/>
        <v>714.92986111111111</v>
      </c>
      <c r="K194" s="160">
        <f t="shared" si="10"/>
        <v>668.91420454545448</v>
      </c>
      <c r="L194" s="160">
        <f t="shared" si="10"/>
        <v>762.05062500000008</v>
      </c>
      <c r="P194" s="161">
        <f t="shared" si="9"/>
        <v>978.3801883528298</v>
      </c>
    </row>
    <row r="195" spans="1:16" ht="12.75" customHeight="1" x14ac:dyDescent="0.25">
      <c r="C195" s="156" t="s">
        <v>772</v>
      </c>
      <c r="D195" s="159">
        <v>77564.800000000003</v>
      </c>
      <c r="E195" s="159">
        <v>77826.100000000006</v>
      </c>
      <c r="F195" s="159">
        <v>87986.1</v>
      </c>
      <c r="G195" s="159">
        <v>98205.4</v>
      </c>
      <c r="H195" s="230">
        <f t="shared" si="8"/>
        <v>85395.6</v>
      </c>
      <c r="I195" s="160">
        <f t="shared" si="10"/>
        <v>570.32941176470592</v>
      </c>
      <c r="J195" s="160">
        <f t="shared" si="10"/>
        <v>540.45902777777781</v>
      </c>
      <c r="K195" s="160">
        <f t="shared" si="10"/>
        <v>499.92102272727277</v>
      </c>
      <c r="L195" s="160">
        <f t="shared" si="10"/>
        <v>613.78374999999994</v>
      </c>
      <c r="P195" s="161">
        <f t="shared" si="9"/>
        <v>724.0725405938058</v>
      </c>
    </row>
    <row r="196" spans="1:16" ht="12.75" customHeight="1" x14ac:dyDescent="0.25">
      <c r="A196" s="156" t="s">
        <v>773</v>
      </c>
      <c r="B196" s="156" t="s">
        <v>774</v>
      </c>
      <c r="C196" s="156" t="s">
        <v>775</v>
      </c>
      <c r="D196" s="159">
        <v>120496.7</v>
      </c>
      <c r="E196" s="159">
        <v>159185.29999999999</v>
      </c>
      <c r="F196" s="159">
        <v>172542.7</v>
      </c>
      <c r="G196" s="162">
        <v>178533</v>
      </c>
      <c r="H196" s="230">
        <f t="shared" si="8"/>
        <v>157689.42499999999</v>
      </c>
      <c r="I196" s="160">
        <f t="shared" ref="I196:L239" si="11">D196/I$5/8</f>
        <v>886.00514705882347</v>
      </c>
      <c r="J196" s="160">
        <f t="shared" si="11"/>
        <v>1105.4534722222222</v>
      </c>
      <c r="K196" s="160">
        <f t="shared" si="11"/>
        <v>980.35625000000005</v>
      </c>
      <c r="L196" s="160">
        <f t="shared" si="11"/>
        <v>1115.83125</v>
      </c>
      <c r="P196" s="161">
        <f t="shared" si="9"/>
        <v>1330.5288118259805</v>
      </c>
    </row>
    <row r="197" spans="1:16" ht="12.75" customHeight="1" x14ac:dyDescent="0.25">
      <c r="C197" s="156" t="s">
        <v>776</v>
      </c>
      <c r="D197" s="159">
        <v>413292.6</v>
      </c>
      <c r="E197" s="159">
        <v>340802.7</v>
      </c>
      <c r="F197" s="159">
        <v>516225.2</v>
      </c>
      <c r="G197" s="159">
        <v>408805.7</v>
      </c>
      <c r="H197" s="230">
        <f t="shared" si="8"/>
        <v>419781.55</v>
      </c>
      <c r="I197" s="160">
        <f t="shared" si="11"/>
        <v>3038.9161764705882</v>
      </c>
      <c r="J197" s="160">
        <f t="shared" si="11"/>
        <v>2366.6854166666667</v>
      </c>
      <c r="K197" s="160">
        <f t="shared" si="11"/>
        <v>2933.0977272727273</v>
      </c>
      <c r="L197" s="160">
        <f t="shared" si="11"/>
        <v>2555.035625</v>
      </c>
      <c r="P197" s="161">
        <f t="shared" si="9"/>
        <v>3545.9107247309494</v>
      </c>
    </row>
    <row r="198" spans="1:16" ht="12.75" customHeight="1" x14ac:dyDescent="0.25">
      <c r="C198" s="156" t="s">
        <v>777</v>
      </c>
      <c r="D198" s="159">
        <v>125353.4</v>
      </c>
      <c r="E198" s="159">
        <v>155986.29999999999</v>
      </c>
      <c r="F198" s="159">
        <v>152479.79999999999</v>
      </c>
      <c r="G198" s="159">
        <v>528598.19999999995</v>
      </c>
      <c r="H198" s="230">
        <f t="shared" si="8"/>
        <v>240604.42499999999</v>
      </c>
      <c r="I198" s="160">
        <f t="shared" si="11"/>
        <v>921.71617647058815</v>
      </c>
      <c r="J198" s="160">
        <f t="shared" si="11"/>
        <v>1083.2381944444444</v>
      </c>
      <c r="K198" s="160">
        <f t="shared" si="11"/>
        <v>866.36249999999995</v>
      </c>
      <c r="L198" s="160">
        <f t="shared" si="11"/>
        <v>3303.7387499999995</v>
      </c>
      <c r="P198" s="161">
        <f t="shared" si="9"/>
        <v>2009.9806046078429</v>
      </c>
    </row>
    <row r="199" spans="1:16" ht="12.75" customHeight="1" x14ac:dyDescent="0.25">
      <c r="C199" s="156" t="s">
        <v>778</v>
      </c>
      <c r="D199" s="159">
        <v>111034.9</v>
      </c>
      <c r="E199" s="159">
        <v>139125.9</v>
      </c>
      <c r="F199" s="159">
        <v>141020.5</v>
      </c>
      <c r="G199" s="159">
        <v>144569.20000000001</v>
      </c>
      <c r="H199" s="230">
        <f t="shared" ref="H199:H262" si="12">AVERAGE(D199:G199)</f>
        <v>133937.625</v>
      </c>
      <c r="I199" s="160">
        <f t="shared" si="11"/>
        <v>816.43308823529412</v>
      </c>
      <c r="J199" s="160">
        <f t="shared" si="11"/>
        <v>966.15208333333328</v>
      </c>
      <c r="K199" s="160">
        <f t="shared" si="11"/>
        <v>801.25284090909088</v>
      </c>
      <c r="L199" s="160">
        <f t="shared" si="11"/>
        <v>903.55750000000012</v>
      </c>
      <c r="P199" s="161">
        <f t="shared" ref="P199:P262" si="13">AVERAGE(I199:L199)*1.302</f>
        <v>1135.1472393114975</v>
      </c>
    </row>
    <row r="200" spans="1:16" ht="12.75" customHeight="1" x14ac:dyDescent="0.25">
      <c r="B200" s="156" t="s">
        <v>779</v>
      </c>
      <c r="C200" s="156" t="s">
        <v>780</v>
      </c>
      <c r="D200" s="159">
        <v>96942.2</v>
      </c>
      <c r="E200" s="159">
        <v>115966.6</v>
      </c>
      <c r="F200" s="159">
        <v>163571.5</v>
      </c>
      <c r="G200" s="159">
        <v>152436.9</v>
      </c>
      <c r="H200" s="230">
        <f t="shared" si="12"/>
        <v>132229.29999999999</v>
      </c>
      <c r="I200" s="160">
        <f t="shared" si="11"/>
        <v>712.810294117647</v>
      </c>
      <c r="J200" s="160">
        <f t="shared" si="11"/>
        <v>805.32361111111118</v>
      </c>
      <c r="K200" s="160">
        <f t="shared" si="11"/>
        <v>929.38352272727275</v>
      </c>
      <c r="L200" s="160">
        <f t="shared" si="11"/>
        <v>952.73062499999992</v>
      </c>
      <c r="P200" s="161">
        <f t="shared" si="13"/>
        <v>1106.7807412371881</v>
      </c>
    </row>
    <row r="201" spans="1:16" ht="12.75" customHeight="1" x14ac:dyDescent="0.25">
      <c r="C201" s="156" t="s">
        <v>781</v>
      </c>
      <c r="D201" s="159">
        <v>521854.3</v>
      </c>
      <c r="E201" s="159">
        <v>253824.2</v>
      </c>
      <c r="F201" s="159">
        <v>955773.1</v>
      </c>
      <c r="G201" s="159">
        <v>354496.6</v>
      </c>
      <c r="H201" s="230">
        <f t="shared" si="12"/>
        <v>521487.05000000005</v>
      </c>
      <c r="I201" s="160">
        <f t="shared" si="11"/>
        <v>3837.1639705882353</v>
      </c>
      <c r="J201" s="160">
        <f t="shared" si="11"/>
        <v>1762.6680555555556</v>
      </c>
      <c r="K201" s="160">
        <f t="shared" si="11"/>
        <v>5430.5289772727274</v>
      </c>
      <c r="L201" s="160">
        <f t="shared" si="11"/>
        <v>2215.6037499999998</v>
      </c>
      <c r="P201" s="161">
        <f t="shared" si="13"/>
        <v>4311.5615272370769</v>
      </c>
    </row>
    <row r="202" spans="1:16" ht="12.75" customHeight="1" x14ac:dyDescent="0.25">
      <c r="C202" s="156" t="s">
        <v>782</v>
      </c>
      <c r="D202" s="159">
        <v>149956.20000000001</v>
      </c>
      <c r="E202" s="159">
        <v>168847.7</v>
      </c>
      <c r="F202" s="159">
        <v>305421.09999999998</v>
      </c>
      <c r="G202" s="159">
        <v>179457.8</v>
      </c>
      <c r="H202" s="230">
        <f t="shared" si="12"/>
        <v>200920.7</v>
      </c>
      <c r="I202" s="160">
        <f t="shared" si="11"/>
        <v>1102.6191176470588</v>
      </c>
      <c r="J202" s="160">
        <f t="shared" si="11"/>
        <v>1172.5534722222224</v>
      </c>
      <c r="K202" s="160">
        <f t="shared" si="11"/>
        <v>1735.3471590909089</v>
      </c>
      <c r="L202" s="160">
        <f t="shared" si="11"/>
        <v>1121.6112499999999</v>
      </c>
      <c r="P202" s="161">
        <f t="shared" si="13"/>
        <v>1670.508640161542</v>
      </c>
    </row>
    <row r="203" spans="1:16" ht="12.75" customHeight="1" x14ac:dyDescent="0.25">
      <c r="B203" s="156" t="s">
        <v>783</v>
      </c>
      <c r="C203" s="156" t="s">
        <v>784</v>
      </c>
      <c r="D203" s="159">
        <v>138771.29999999999</v>
      </c>
      <c r="E203" s="159">
        <v>148809.60000000001</v>
      </c>
      <c r="F203" s="159">
        <v>397632.3</v>
      </c>
      <c r="G203" s="159">
        <v>199230.7</v>
      </c>
      <c r="H203" s="230">
        <f t="shared" si="12"/>
        <v>221110.97499999998</v>
      </c>
      <c r="I203" s="160">
        <f t="shared" si="11"/>
        <v>1020.3772058823529</v>
      </c>
      <c r="J203" s="160">
        <f t="shared" si="11"/>
        <v>1033.4000000000001</v>
      </c>
      <c r="K203" s="160">
        <f t="shared" si="11"/>
        <v>2259.2744318181817</v>
      </c>
      <c r="L203" s="160">
        <f t="shared" si="11"/>
        <v>1245.191875</v>
      </c>
      <c r="P203" s="161">
        <f t="shared" si="13"/>
        <v>1809.2082633840243</v>
      </c>
    </row>
    <row r="204" spans="1:16" ht="12.75" customHeight="1" x14ac:dyDescent="0.25">
      <c r="C204" s="156" t="s">
        <v>785</v>
      </c>
      <c r="D204" s="159">
        <v>74479.8</v>
      </c>
      <c r="E204" s="159">
        <v>122446.8</v>
      </c>
      <c r="F204" s="159">
        <v>110616.9</v>
      </c>
      <c r="G204" s="159">
        <v>89833.2</v>
      </c>
      <c r="H204" s="230">
        <f t="shared" si="12"/>
        <v>99344.175000000003</v>
      </c>
      <c r="I204" s="160">
        <f t="shared" si="11"/>
        <v>547.6455882352941</v>
      </c>
      <c r="J204" s="160">
        <f t="shared" si="11"/>
        <v>850.32500000000005</v>
      </c>
      <c r="K204" s="160">
        <f t="shared" si="11"/>
        <v>628.5051136363636</v>
      </c>
      <c r="L204" s="160">
        <f t="shared" si="11"/>
        <v>561.45749999999998</v>
      </c>
      <c r="P204" s="161">
        <f t="shared" si="13"/>
        <v>842.37225720922459</v>
      </c>
    </row>
    <row r="205" spans="1:16" ht="12.75" customHeight="1" x14ac:dyDescent="0.25">
      <c r="C205" s="156" t="s">
        <v>786</v>
      </c>
      <c r="D205" s="159">
        <v>216149.3</v>
      </c>
      <c r="E205" s="159">
        <v>528653.9</v>
      </c>
      <c r="F205" s="159">
        <v>386761.9</v>
      </c>
      <c r="G205" s="159">
        <v>295589.5</v>
      </c>
      <c r="H205" s="230">
        <f t="shared" si="12"/>
        <v>356788.65</v>
      </c>
      <c r="I205" s="160">
        <f t="shared" si="11"/>
        <v>1589.3330882352941</v>
      </c>
      <c r="J205" s="160">
        <f t="shared" si="11"/>
        <v>3671.2076388888891</v>
      </c>
      <c r="K205" s="160">
        <f t="shared" si="11"/>
        <v>2197.5107954545456</v>
      </c>
      <c r="L205" s="160">
        <f t="shared" si="11"/>
        <v>1847.434375</v>
      </c>
      <c r="P205" s="161">
        <f t="shared" si="13"/>
        <v>3028.9356596618763</v>
      </c>
    </row>
    <row r="206" spans="1:16" ht="12.75" customHeight="1" x14ac:dyDescent="0.25">
      <c r="A206" s="156" t="s">
        <v>787</v>
      </c>
      <c r="B206" s="156" t="s">
        <v>788</v>
      </c>
      <c r="C206" s="156" t="s">
        <v>789</v>
      </c>
      <c r="D206" s="159">
        <v>59105.8</v>
      </c>
      <c r="E206" s="159">
        <v>61408.1</v>
      </c>
      <c r="F206" s="159">
        <v>69102.3</v>
      </c>
      <c r="G206" s="159">
        <v>70410.8</v>
      </c>
      <c r="H206" s="230">
        <f t="shared" si="12"/>
        <v>65006.75</v>
      </c>
      <c r="I206" s="160">
        <f t="shared" si="11"/>
        <v>434.60147058823532</v>
      </c>
      <c r="J206" s="160">
        <f t="shared" si="11"/>
        <v>426.44513888888889</v>
      </c>
      <c r="K206" s="160">
        <f t="shared" si="11"/>
        <v>392.62670454545457</v>
      </c>
      <c r="L206" s="160">
        <f t="shared" si="11"/>
        <v>440.0675</v>
      </c>
      <c r="P206" s="161">
        <f t="shared" si="13"/>
        <v>551.3126349643494</v>
      </c>
    </row>
    <row r="207" spans="1:16" ht="12.75" customHeight="1" x14ac:dyDescent="0.25">
      <c r="C207" s="156" t="s">
        <v>790</v>
      </c>
      <c r="D207" s="159">
        <v>53242.400000000001</v>
      </c>
      <c r="E207" s="159">
        <v>53338.7</v>
      </c>
      <c r="F207" s="159">
        <v>53608.4</v>
      </c>
      <c r="G207" s="159">
        <v>62423.3</v>
      </c>
      <c r="H207" s="230">
        <f t="shared" si="12"/>
        <v>55653.2</v>
      </c>
      <c r="I207" s="160">
        <f t="shared" si="11"/>
        <v>391.48823529411766</v>
      </c>
      <c r="J207" s="160">
        <f t="shared" si="11"/>
        <v>370.40763888888887</v>
      </c>
      <c r="K207" s="160">
        <f t="shared" si="11"/>
        <v>304.59318181818185</v>
      </c>
      <c r="L207" s="160">
        <f t="shared" si="11"/>
        <v>390.145625</v>
      </c>
      <c r="P207" s="161">
        <f t="shared" si="13"/>
        <v>474.13458866588678</v>
      </c>
    </row>
    <row r="208" spans="1:16" ht="12.75" customHeight="1" x14ac:dyDescent="0.25">
      <c r="C208" s="156" t="s">
        <v>791</v>
      </c>
      <c r="D208" s="159">
        <v>45571.3</v>
      </c>
      <c r="E208" s="159">
        <v>45970.7</v>
      </c>
      <c r="F208" s="159">
        <v>49558.400000000001</v>
      </c>
      <c r="G208" s="159">
        <v>49840.3</v>
      </c>
      <c r="H208" s="230">
        <f t="shared" si="12"/>
        <v>47735.175000000003</v>
      </c>
      <c r="I208" s="160">
        <f t="shared" si="11"/>
        <v>335.08308823529416</v>
      </c>
      <c r="J208" s="160">
        <f t="shared" si="11"/>
        <v>319.24097222222218</v>
      </c>
      <c r="K208" s="160">
        <f t="shared" si="11"/>
        <v>281.58181818181816</v>
      </c>
      <c r="L208" s="160">
        <f t="shared" si="11"/>
        <v>311.50187500000004</v>
      </c>
      <c r="P208" s="161">
        <f t="shared" si="13"/>
        <v>406.03122380960349</v>
      </c>
    </row>
    <row r="209" spans="1:16" ht="12.75" customHeight="1" x14ac:dyDescent="0.25">
      <c r="A209" s="156" t="s">
        <v>792</v>
      </c>
      <c r="B209" s="156" t="s">
        <v>793</v>
      </c>
      <c r="C209" s="156" t="s">
        <v>794</v>
      </c>
      <c r="D209" s="159">
        <v>51612.9</v>
      </c>
      <c r="E209" s="159">
        <v>56720.9</v>
      </c>
      <c r="F209" s="159">
        <v>63855.4</v>
      </c>
      <c r="G209" s="159">
        <v>62253.1</v>
      </c>
      <c r="H209" s="230">
        <f t="shared" si="12"/>
        <v>58610.575000000004</v>
      </c>
      <c r="I209" s="160">
        <f t="shared" si="11"/>
        <v>379.50661764705882</v>
      </c>
      <c r="J209" s="160">
        <f t="shared" si="11"/>
        <v>393.89513888888888</v>
      </c>
      <c r="K209" s="160">
        <f t="shared" si="11"/>
        <v>362.81477272727273</v>
      </c>
      <c r="L209" s="160">
        <f t="shared" si="11"/>
        <v>389.08187499999997</v>
      </c>
      <c r="P209" s="161">
        <f t="shared" si="13"/>
        <v>496.48463058767817</v>
      </c>
    </row>
    <row r="210" spans="1:16" ht="12.75" customHeight="1" x14ac:dyDescent="0.25">
      <c r="C210" s="156" t="s">
        <v>795</v>
      </c>
      <c r="D210" s="159">
        <v>61953.1</v>
      </c>
      <c r="E210" s="159">
        <v>62578.2</v>
      </c>
      <c r="F210" s="159">
        <v>62073.2</v>
      </c>
      <c r="G210" s="159">
        <v>63844.4</v>
      </c>
      <c r="H210" s="230">
        <f t="shared" si="12"/>
        <v>62612.224999999999</v>
      </c>
      <c r="I210" s="160">
        <f t="shared" si="11"/>
        <v>455.53749999999997</v>
      </c>
      <c r="J210" s="160">
        <f t="shared" si="11"/>
        <v>434.57083333333333</v>
      </c>
      <c r="K210" s="160">
        <f t="shared" si="11"/>
        <v>352.68863636363636</v>
      </c>
      <c r="L210" s="160">
        <f t="shared" si="11"/>
        <v>399.02750000000003</v>
      </c>
      <c r="P210" s="161">
        <f t="shared" si="13"/>
        <v>534.41386488636363</v>
      </c>
    </row>
    <row r="211" spans="1:16" ht="12.75" customHeight="1" x14ac:dyDescent="0.25">
      <c r="B211" s="156" t="s">
        <v>796</v>
      </c>
      <c r="C211" s="156" t="s">
        <v>797</v>
      </c>
      <c r="D211" s="159">
        <v>220155.2</v>
      </c>
      <c r="E211" s="159">
        <v>268007.59999999998</v>
      </c>
      <c r="F211" s="159">
        <v>380372.7</v>
      </c>
      <c r="G211" s="159">
        <v>273545.7</v>
      </c>
      <c r="H211" s="230">
        <f t="shared" si="12"/>
        <v>285520.3</v>
      </c>
      <c r="I211" s="160">
        <f t="shared" si="11"/>
        <v>1618.7882352941178</v>
      </c>
      <c r="J211" s="160">
        <f t="shared" si="11"/>
        <v>1861.1638888888888</v>
      </c>
      <c r="K211" s="160">
        <f t="shared" si="11"/>
        <v>2161.2085227272728</v>
      </c>
      <c r="L211" s="160">
        <f t="shared" si="11"/>
        <v>1709.660625</v>
      </c>
      <c r="P211" s="161">
        <f t="shared" si="13"/>
        <v>2392.6923240067958</v>
      </c>
    </row>
    <row r="212" spans="1:16" ht="12.75" customHeight="1" x14ac:dyDescent="0.25">
      <c r="C212" s="156" t="s">
        <v>798</v>
      </c>
      <c r="D212" s="159">
        <v>117286.1</v>
      </c>
      <c r="E212" s="159">
        <v>143222.20000000001</v>
      </c>
      <c r="F212" s="162">
        <v>164967</v>
      </c>
      <c r="G212" s="159">
        <v>136097.79999999999</v>
      </c>
      <c r="H212" s="230">
        <f t="shared" si="12"/>
        <v>140393.27500000002</v>
      </c>
      <c r="I212" s="160">
        <f t="shared" si="11"/>
        <v>862.39779411764709</v>
      </c>
      <c r="J212" s="160">
        <f t="shared" si="11"/>
        <v>994.59861111111115</v>
      </c>
      <c r="K212" s="160">
        <f t="shared" si="11"/>
        <v>937.3125</v>
      </c>
      <c r="L212" s="160">
        <f t="shared" si="11"/>
        <v>850.61124999999993</v>
      </c>
      <c r="P212" s="161">
        <f t="shared" si="13"/>
        <v>1186.4215105269609</v>
      </c>
    </row>
    <row r="213" spans="1:16" ht="12.75" customHeight="1" x14ac:dyDescent="0.25">
      <c r="B213" s="156" t="s">
        <v>799</v>
      </c>
      <c r="C213" s="156" t="s">
        <v>800</v>
      </c>
      <c r="D213" s="159">
        <v>84322.8</v>
      </c>
      <c r="E213" s="159">
        <v>93616.9</v>
      </c>
      <c r="F213" s="159">
        <v>94786.6</v>
      </c>
      <c r="G213" s="162">
        <v>113446</v>
      </c>
      <c r="H213" s="230">
        <f t="shared" si="12"/>
        <v>96543.075000000012</v>
      </c>
      <c r="I213" s="160">
        <f t="shared" si="11"/>
        <v>620.0205882352941</v>
      </c>
      <c r="J213" s="160">
        <f t="shared" si="11"/>
        <v>650.11736111111111</v>
      </c>
      <c r="K213" s="160">
        <f t="shared" si="11"/>
        <v>538.56022727272727</v>
      </c>
      <c r="L213" s="160">
        <f t="shared" si="11"/>
        <v>709.03750000000002</v>
      </c>
      <c r="P213" s="161">
        <f t="shared" si="13"/>
        <v>819.52296273952766</v>
      </c>
    </row>
    <row r="214" spans="1:16" ht="12.75" customHeight="1" x14ac:dyDescent="0.25">
      <c r="C214" s="156" t="s">
        <v>801</v>
      </c>
      <c r="D214" s="159">
        <v>72638.5</v>
      </c>
      <c r="E214" s="162">
        <v>75996</v>
      </c>
      <c r="F214" s="159">
        <v>86151.5</v>
      </c>
      <c r="G214" s="159">
        <v>92037.4</v>
      </c>
      <c r="H214" s="230">
        <f t="shared" si="12"/>
        <v>81705.850000000006</v>
      </c>
      <c r="I214" s="160">
        <f t="shared" si="11"/>
        <v>534.10661764705878</v>
      </c>
      <c r="J214" s="160">
        <f t="shared" si="11"/>
        <v>527.75</v>
      </c>
      <c r="K214" s="160">
        <f t="shared" si="11"/>
        <v>489.49715909090907</v>
      </c>
      <c r="L214" s="160">
        <f t="shared" si="11"/>
        <v>575.23374999999999</v>
      </c>
      <c r="P214" s="161">
        <f t="shared" si="13"/>
        <v>692.20423995320857</v>
      </c>
    </row>
    <row r="215" spans="1:16" ht="12.75" customHeight="1" x14ac:dyDescent="0.25">
      <c r="B215" s="156" t="s">
        <v>802</v>
      </c>
      <c r="C215" s="156" t="s">
        <v>803</v>
      </c>
      <c r="D215" s="159">
        <v>98005.2</v>
      </c>
      <c r="E215" s="159">
        <v>100266.1</v>
      </c>
      <c r="F215" s="159">
        <v>111268.7</v>
      </c>
      <c r="G215" s="159">
        <v>115849.9</v>
      </c>
      <c r="H215" s="230">
        <f t="shared" si="12"/>
        <v>106347.47500000001</v>
      </c>
      <c r="I215" s="160">
        <f t="shared" si="11"/>
        <v>720.62647058823529</v>
      </c>
      <c r="J215" s="160">
        <f t="shared" si="11"/>
        <v>696.29236111111118</v>
      </c>
      <c r="K215" s="160">
        <f t="shared" si="11"/>
        <v>632.20852272727268</v>
      </c>
      <c r="L215" s="160">
        <f t="shared" si="11"/>
        <v>724.06187499999999</v>
      </c>
      <c r="P215" s="161">
        <f t="shared" si="13"/>
        <v>902.67309417836452</v>
      </c>
    </row>
    <row r="216" spans="1:16" ht="12.75" customHeight="1" x14ac:dyDescent="0.25">
      <c r="C216" s="156" t="s">
        <v>804</v>
      </c>
      <c r="D216" s="159">
        <v>80673.899999999994</v>
      </c>
      <c r="E216" s="159">
        <v>85281.5</v>
      </c>
      <c r="F216" s="159">
        <v>117999.8</v>
      </c>
      <c r="G216" s="159">
        <v>99692.6</v>
      </c>
      <c r="H216" s="230">
        <f t="shared" si="12"/>
        <v>95911.950000000012</v>
      </c>
      <c r="I216" s="160">
        <f t="shared" si="11"/>
        <v>593.19044117647059</v>
      </c>
      <c r="J216" s="160">
        <f t="shared" si="11"/>
        <v>592.23263888888891</v>
      </c>
      <c r="K216" s="160">
        <f t="shared" si="11"/>
        <v>670.45340909090908</v>
      </c>
      <c r="L216" s="160">
        <f t="shared" si="11"/>
        <v>623.07875000000001</v>
      </c>
      <c r="P216" s="161">
        <f t="shared" si="13"/>
        <v>806.89993034536553</v>
      </c>
    </row>
    <row r="217" spans="1:16" ht="12.75" customHeight="1" x14ac:dyDescent="0.25">
      <c r="B217" s="156" t="s">
        <v>805</v>
      </c>
      <c r="C217" s="156" t="s">
        <v>806</v>
      </c>
      <c r="D217" s="159">
        <v>75300.2</v>
      </c>
      <c r="E217" s="159">
        <v>80063.3</v>
      </c>
      <c r="F217" s="162">
        <v>95614</v>
      </c>
      <c r="G217" s="159">
        <v>96445.5</v>
      </c>
      <c r="H217" s="230">
        <f t="shared" si="12"/>
        <v>86855.75</v>
      </c>
      <c r="I217" s="160">
        <f t="shared" si="11"/>
        <v>553.67794117647054</v>
      </c>
      <c r="J217" s="160">
        <f t="shared" si="11"/>
        <v>555.99513888888896</v>
      </c>
      <c r="K217" s="160">
        <f t="shared" si="11"/>
        <v>543.26136363636363</v>
      </c>
      <c r="L217" s="160">
        <f t="shared" si="11"/>
        <v>602.78437499999995</v>
      </c>
      <c r="P217" s="161">
        <f t="shared" si="13"/>
        <v>734.23647548741076</v>
      </c>
    </row>
    <row r="218" spans="1:16" ht="12.75" customHeight="1" x14ac:dyDescent="0.25">
      <c r="C218" s="156" t="s">
        <v>807</v>
      </c>
      <c r="D218" s="159">
        <v>122404.2</v>
      </c>
      <c r="E218" s="162">
        <v>180625</v>
      </c>
      <c r="F218" s="159">
        <v>187056.3</v>
      </c>
      <c r="G218" s="159">
        <v>130571.8</v>
      </c>
      <c r="H218" s="230">
        <f t="shared" si="12"/>
        <v>155164.32500000001</v>
      </c>
      <c r="I218" s="160">
        <f t="shared" si="11"/>
        <v>900.03088235294115</v>
      </c>
      <c r="J218" s="160">
        <f t="shared" si="11"/>
        <v>1254.3402777777778</v>
      </c>
      <c r="K218" s="160">
        <f t="shared" si="11"/>
        <v>1062.8198863636362</v>
      </c>
      <c r="L218" s="160">
        <f t="shared" si="11"/>
        <v>816.07375000000002</v>
      </c>
      <c r="P218" s="161">
        <f t="shared" si="13"/>
        <v>1312.8276912589126</v>
      </c>
    </row>
    <row r="219" spans="1:16" ht="12.75" customHeight="1" x14ac:dyDescent="0.25">
      <c r="B219" s="156" t="s">
        <v>808</v>
      </c>
      <c r="C219" s="156" t="s">
        <v>809</v>
      </c>
      <c r="D219" s="159">
        <v>49073.1</v>
      </c>
      <c r="E219" s="159">
        <v>105052.1</v>
      </c>
      <c r="F219" s="159">
        <v>79317.3</v>
      </c>
      <c r="G219" s="159">
        <v>86844.6</v>
      </c>
      <c r="H219" s="230">
        <f t="shared" si="12"/>
        <v>80071.774999999994</v>
      </c>
      <c r="I219" s="160">
        <f t="shared" si="11"/>
        <v>360.83161764705881</v>
      </c>
      <c r="J219" s="160">
        <f t="shared" si="11"/>
        <v>729.52847222222226</v>
      </c>
      <c r="K219" s="160">
        <f t="shared" si="11"/>
        <v>450.66647727272726</v>
      </c>
      <c r="L219" s="160">
        <f t="shared" si="11"/>
        <v>542.77875000000006</v>
      </c>
      <c r="P219" s="161">
        <f t="shared" si="13"/>
        <v>678.27863072972377</v>
      </c>
    </row>
    <row r="220" spans="1:16" ht="12.75" customHeight="1" x14ac:dyDescent="0.25">
      <c r="C220" s="156" t="s">
        <v>810</v>
      </c>
      <c r="D220" s="159">
        <v>24754.6</v>
      </c>
      <c r="E220" s="159">
        <v>27479.5</v>
      </c>
      <c r="F220" s="159">
        <v>25233.5</v>
      </c>
      <c r="G220" s="159">
        <v>28037.7</v>
      </c>
      <c r="H220" s="230">
        <f t="shared" si="12"/>
        <v>26376.325000000001</v>
      </c>
      <c r="I220" s="160">
        <f t="shared" si="11"/>
        <v>182.01911764705881</v>
      </c>
      <c r="J220" s="160">
        <f t="shared" si="11"/>
        <v>190.82986111111111</v>
      </c>
      <c r="K220" s="160">
        <f t="shared" si="11"/>
        <v>143.37215909090909</v>
      </c>
      <c r="L220" s="160">
        <f t="shared" si="11"/>
        <v>175.235625</v>
      </c>
      <c r="P220" s="161">
        <f t="shared" si="13"/>
        <v>225.06917630737524</v>
      </c>
    </row>
    <row r="221" spans="1:16" ht="12.75" customHeight="1" x14ac:dyDescent="0.25">
      <c r="C221" s="156" t="s">
        <v>811</v>
      </c>
      <c r="D221" s="159">
        <v>34557.699999999997</v>
      </c>
      <c r="E221" s="159">
        <v>37454.5</v>
      </c>
      <c r="F221" s="159">
        <v>33922.6</v>
      </c>
      <c r="G221" s="159">
        <v>36329.199999999997</v>
      </c>
      <c r="H221" s="230">
        <f t="shared" si="12"/>
        <v>35566</v>
      </c>
      <c r="I221" s="160">
        <f t="shared" si="11"/>
        <v>254.10073529411761</v>
      </c>
      <c r="J221" s="160">
        <f t="shared" si="11"/>
        <v>260.10069444444446</v>
      </c>
      <c r="K221" s="160">
        <f t="shared" si="11"/>
        <v>192.74204545454543</v>
      </c>
      <c r="L221" s="160">
        <f t="shared" si="11"/>
        <v>227.05749999999998</v>
      </c>
      <c r="P221" s="161">
        <f t="shared" si="13"/>
        <v>304.01731742535651</v>
      </c>
    </row>
    <row r="222" spans="1:16" ht="12.75" customHeight="1" x14ac:dyDescent="0.25">
      <c r="C222" s="156" t="s">
        <v>812</v>
      </c>
      <c r="D222" s="159">
        <v>86395.199999999997</v>
      </c>
      <c r="E222" s="159">
        <v>71460.600000000006</v>
      </c>
      <c r="F222" s="162">
        <v>92724</v>
      </c>
      <c r="G222" s="162">
        <v>87767</v>
      </c>
      <c r="H222" s="230">
        <f t="shared" si="12"/>
        <v>84586.7</v>
      </c>
      <c r="I222" s="160">
        <f t="shared" si="11"/>
        <v>635.25882352941176</v>
      </c>
      <c r="J222" s="160">
        <f t="shared" si="11"/>
        <v>496.25416666666672</v>
      </c>
      <c r="K222" s="160">
        <f t="shared" si="11"/>
        <v>526.84090909090912</v>
      </c>
      <c r="L222" s="160">
        <f t="shared" si="11"/>
        <v>548.54375000000005</v>
      </c>
      <c r="P222" s="161">
        <f t="shared" si="13"/>
        <v>718.34518484291459</v>
      </c>
    </row>
    <row r="223" spans="1:16" ht="12.75" customHeight="1" x14ac:dyDescent="0.25">
      <c r="B223" s="156" t="s">
        <v>813</v>
      </c>
      <c r="C223" s="156" t="s">
        <v>814</v>
      </c>
      <c r="D223" s="159">
        <v>39739.599999999999</v>
      </c>
      <c r="E223" s="159">
        <v>39074.300000000003</v>
      </c>
      <c r="F223" s="159">
        <v>41852.9</v>
      </c>
      <c r="G223" s="159">
        <v>41898.9</v>
      </c>
      <c r="H223" s="230">
        <f t="shared" si="12"/>
        <v>40641.424999999996</v>
      </c>
      <c r="I223" s="160">
        <f t="shared" si="11"/>
        <v>292.20294117647057</v>
      </c>
      <c r="J223" s="160">
        <f t="shared" si="11"/>
        <v>271.34930555555559</v>
      </c>
      <c r="K223" s="160">
        <f t="shared" si="11"/>
        <v>237.80056818181819</v>
      </c>
      <c r="L223" s="160">
        <f t="shared" si="11"/>
        <v>261.86812500000002</v>
      </c>
      <c r="P223" s="161">
        <f t="shared" si="13"/>
        <v>346.07841594195639</v>
      </c>
    </row>
    <row r="224" spans="1:16" ht="12.75" customHeight="1" x14ac:dyDescent="0.25">
      <c r="A224" s="156" t="s">
        <v>815</v>
      </c>
      <c r="B224" s="156" t="s">
        <v>816</v>
      </c>
      <c r="C224" s="156" t="s">
        <v>817</v>
      </c>
      <c r="D224" s="159">
        <v>66065.7</v>
      </c>
      <c r="E224" s="159">
        <v>68756.600000000006</v>
      </c>
      <c r="F224" s="159">
        <v>76632.899999999994</v>
      </c>
      <c r="G224" s="162">
        <v>68152</v>
      </c>
      <c r="H224" s="230">
        <f t="shared" si="12"/>
        <v>69901.799999999988</v>
      </c>
      <c r="I224" s="160">
        <f t="shared" si="11"/>
        <v>485.77720588235292</v>
      </c>
      <c r="J224" s="160">
        <f t="shared" si="11"/>
        <v>477.47638888888895</v>
      </c>
      <c r="K224" s="160">
        <f t="shared" si="11"/>
        <v>435.41420454545454</v>
      </c>
      <c r="L224" s="160">
        <f t="shared" si="11"/>
        <v>425.95</v>
      </c>
      <c r="P224" s="161">
        <f t="shared" si="13"/>
        <v>593.9130936775847</v>
      </c>
    </row>
    <row r="225" spans="2:16" ht="12.75" customHeight="1" x14ac:dyDescent="0.25">
      <c r="C225" s="156" t="s">
        <v>818</v>
      </c>
      <c r="D225" s="162">
        <v>62249</v>
      </c>
      <c r="E225" s="159">
        <v>74411.7</v>
      </c>
      <c r="F225" s="159">
        <v>84190.399999999994</v>
      </c>
      <c r="G225" s="159">
        <v>61815.199999999997</v>
      </c>
      <c r="H225" s="230">
        <f t="shared" si="12"/>
        <v>70666.574999999997</v>
      </c>
      <c r="I225" s="160">
        <f t="shared" si="11"/>
        <v>457.71323529411762</v>
      </c>
      <c r="J225" s="160">
        <f t="shared" si="11"/>
        <v>516.7479166666667</v>
      </c>
      <c r="K225" s="160">
        <f t="shared" si="11"/>
        <v>478.35454545454542</v>
      </c>
      <c r="L225" s="160">
        <f t="shared" si="11"/>
        <v>386.34499999999997</v>
      </c>
      <c r="P225" s="161">
        <f t="shared" si="13"/>
        <v>598.64680700868985</v>
      </c>
    </row>
    <row r="226" spans="2:16" ht="12.75" customHeight="1" x14ac:dyDescent="0.25">
      <c r="C226" s="156" t="s">
        <v>819</v>
      </c>
      <c r="D226" s="159">
        <v>73895.5</v>
      </c>
      <c r="E226" s="159">
        <v>69136.2</v>
      </c>
      <c r="F226" s="162">
        <v>71239</v>
      </c>
      <c r="G226" s="162">
        <v>76703</v>
      </c>
      <c r="H226" s="230">
        <f t="shared" si="12"/>
        <v>72743.425000000003</v>
      </c>
      <c r="I226" s="160">
        <f t="shared" si="11"/>
        <v>543.34926470588232</v>
      </c>
      <c r="J226" s="160">
        <f t="shared" si="11"/>
        <v>480.11249999999995</v>
      </c>
      <c r="K226" s="160">
        <f t="shared" si="11"/>
        <v>404.76704545454544</v>
      </c>
      <c r="L226" s="160">
        <f t="shared" si="11"/>
        <v>479.39375000000001</v>
      </c>
      <c r="P226" s="161">
        <f t="shared" si="13"/>
        <v>620.93114333221922</v>
      </c>
    </row>
    <row r="227" spans="2:16" ht="12.75" customHeight="1" x14ac:dyDescent="0.25">
      <c r="C227" s="156" t="s">
        <v>820</v>
      </c>
      <c r="D227" s="159">
        <v>63263.1</v>
      </c>
      <c r="E227" s="159">
        <v>59731.8</v>
      </c>
      <c r="F227" s="159">
        <v>68565.399999999994</v>
      </c>
      <c r="G227" s="159">
        <v>62430.9</v>
      </c>
      <c r="H227" s="230">
        <f t="shared" si="12"/>
        <v>63497.799999999996</v>
      </c>
      <c r="I227" s="160">
        <f t="shared" si="11"/>
        <v>465.16985294117649</v>
      </c>
      <c r="J227" s="160">
        <f t="shared" si="11"/>
        <v>414.80416666666667</v>
      </c>
      <c r="K227" s="160">
        <f t="shared" si="11"/>
        <v>389.57613636363635</v>
      </c>
      <c r="L227" s="160">
        <f t="shared" si="11"/>
        <v>390.19312500000001</v>
      </c>
      <c r="P227" s="161">
        <f t="shared" si="13"/>
        <v>540.2464379562166</v>
      </c>
    </row>
    <row r="228" spans="2:16" ht="12.75" customHeight="1" x14ac:dyDescent="0.25">
      <c r="B228" s="156" t="s">
        <v>821</v>
      </c>
      <c r="C228" s="156" t="s">
        <v>822</v>
      </c>
      <c r="D228" s="159">
        <v>33323.800000000003</v>
      </c>
      <c r="E228" s="159">
        <v>41447.800000000003</v>
      </c>
      <c r="F228" s="159">
        <v>44423.5</v>
      </c>
      <c r="G228" s="159">
        <v>48424.3</v>
      </c>
      <c r="H228" s="230">
        <f t="shared" si="12"/>
        <v>41904.850000000006</v>
      </c>
      <c r="I228" s="160">
        <f t="shared" si="11"/>
        <v>245.02794117647062</v>
      </c>
      <c r="J228" s="160">
        <f t="shared" si="11"/>
        <v>287.83194444444445</v>
      </c>
      <c r="K228" s="160">
        <f t="shared" si="11"/>
        <v>252.40625</v>
      </c>
      <c r="L228" s="160">
        <f t="shared" si="11"/>
        <v>302.65187500000002</v>
      </c>
      <c r="P228" s="161">
        <f t="shared" si="13"/>
        <v>354.11731245710786</v>
      </c>
    </row>
    <row r="229" spans="2:16" ht="12.75" customHeight="1" x14ac:dyDescent="0.25">
      <c r="C229" s="156" t="s">
        <v>823</v>
      </c>
      <c r="D229" s="159">
        <v>38106.300000000003</v>
      </c>
      <c r="E229" s="162">
        <v>40845</v>
      </c>
      <c r="F229" s="159">
        <v>42547.5</v>
      </c>
      <c r="G229" s="159">
        <v>43210.9</v>
      </c>
      <c r="H229" s="230">
        <f t="shared" si="12"/>
        <v>41177.425000000003</v>
      </c>
      <c r="I229" s="160">
        <f t="shared" si="11"/>
        <v>280.19338235294117</v>
      </c>
      <c r="J229" s="160">
        <f t="shared" si="11"/>
        <v>283.64583333333331</v>
      </c>
      <c r="K229" s="160">
        <f t="shared" si="11"/>
        <v>241.74715909090909</v>
      </c>
      <c r="L229" s="160">
        <f t="shared" si="11"/>
        <v>270.06812500000001</v>
      </c>
      <c r="P229" s="161">
        <f t="shared" si="13"/>
        <v>350.12553967747323</v>
      </c>
    </row>
    <row r="230" spans="2:16" ht="12.75" customHeight="1" x14ac:dyDescent="0.25">
      <c r="C230" s="156" t="s">
        <v>824</v>
      </c>
      <c r="D230" s="159">
        <v>62360.3</v>
      </c>
      <c r="E230" s="159">
        <v>93981.5</v>
      </c>
      <c r="F230" s="159">
        <v>61625.5</v>
      </c>
      <c r="G230" s="159">
        <v>64881.9</v>
      </c>
      <c r="H230" s="230">
        <f t="shared" si="12"/>
        <v>70712.3</v>
      </c>
      <c r="I230" s="160">
        <f t="shared" si="11"/>
        <v>458.53161764705885</v>
      </c>
      <c r="J230" s="160">
        <f t="shared" si="11"/>
        <v>652.64930555555554</v>
      </c>
      <c r="K230" s="160">
        <f t="shared" si="11"/>
        <v>350.14488636363637</v>
      </c>
      <c r="L230" s="160">
        <f t="shared" si="11"/>
        <v>405.51187500000003</v>
      </c>
      <c r="P230" s="161">
        <f t="shared" si="13"/>
        <v>607.65566632631476</v>
      </c>
    </row>
    <row r="231" spans="2:16" ht="12.75" customHeight="1" x14ac:dyDescent="0.25">
      <c r="B231" s="156" t="s">
        <v>825</v>
      </c>
      <c r="C231" s="156" t="s">
        <v>826</v>
      </c>
      <c r="D231" s="162">
        <v>37988</v>
      </c>
      <c r="E231" s="159">
        <v>46572.6</v>
      </c>
      <c r="F231" s="159">
        <v>50940.4</v>
      </c>
      <c r="G231" s="159">
        <v>42104.5</v>
      </c>
      <c r="H231" s="230">
        <f t="shared" si="12"/>
        <v>44401.375</v>
      </c>
      <c r="I231" s="160">
        <f t="shared" si="11"/>
        <v>279.3235294117647</v>
      </c>
      <c r="J231" s="160">
        <f t="shared" si="11"/>
        <v>323.42083333333335</v>
      </c>
      <c r="K231" s="160">
        <f t="shared" si="11"/>
        <v>289.43409090909091</v>
      </c>
      <c r="L231" s="160">
        <f t="shared" si="11"/>
        <v>263.15312499999999</v>
      </c>
      <c r="P231" s="161">
        <f t="shared" si="13"/>
        <v>376.06042885193847</v>
      </c>
    </row>
    <row r="232" spans="2:16" ht="12.75" customHeight="1" x14ac:dyDescent="0.25">
      <c r="C232" s="156" t="s">
        <v>827</v>
      </c>
      <c r="D232" s="159">
        <v>63454.400000000001</v>
      </c>
      <c r="E232" s="159">
        <v>70946.600000000006</v>
      </c>
      <c r="F232" s="159">
        <v>70320.800000000003</v>
      </c>
      <c r="G232" s="159">
        <v>79709.399999999994</v>
      </c>
      <c r="H232" s="230">
        <f t="shared" si="12"/>
        <v>71107.799999999988</v>
      </c>
      <c r="I232" s="160">
        <f t="shared" si="11"/>
        <v>466.57647058823528</v>
      </c>
      <c r="J232" s="160">
        <f t="shared" si="11"/>
        <v>492.68472222222226</v>
      </c>
      <c r="K232" s="160">
        <f t="shared" si="11"/>
        <v>399.55</v>
      </c>
      <c r="L232" s="160">
        <f t="shared" si="11"/>
        <v>498.18374999999997</v>
      </c>
      <c r="P232" s="161">
        <f t="shared" si="13"/>
        <v>604.45185388480388</v>
      </c>
    </row>
    <row r="233" spans="2:16" ht="12.75" customHeight="1" x14ac:dyDescent="0.25">
      <c r="B233" s="156" t="s">
        <v>828</v>
      </c>
      <c r="C233" s="156" t="s">
        <v>829</v>
      </c>
      <c r="D233" s="159">
        <v>39637.800000000003</v>
      </c>
      <c r="E233" s="159">
        <v>43725.2</v>
      </c>
      <c r="F233" s="159">
        <v>39845.300000000003</v>
      </c>
      <c r="G233" s="159">
        <v>39402.6</v>
      </c>
      <c r="H233" s="230">
        <f t="shared" si="12"/>
        <v>40652.724999999999</v>
      </c>
      <c r="I233" s="160">
        <f t="shared" si="11"/>
        <v>291.45441176470592</v>
      </c>
      <c r="J233" s="160">
        <f t="shared" si="11"/>
        <v>303.64722222222218</v>
      </c>
      <c r="K233" s="160">
        <f t="shared" si="11"/>
        <v>226.39375000000001</v>
      </c>
      <c r="L233" s="160">
        <f t="shared" si="11"/>
        <v>246.26624999999999</v>
      </c>
      <c r="P233" s="161">
        <f t="shared" si="13"/>
        <v>347.55641186274511</v>
      </c>
    </row>
    <row r="234" spans="2:16" ht="12.75" customHeight="1" x14ac:dyDescent="0.25">
      <c r="C234" s="156" t="s">
        <v>830</v>
      </c>
      <c r="D234" s="159">
        <v>56536.3</v>
      </c>
      <c r="E234" s="159">
        <v>49239.5</v>
      </c>
      <c r="F234" s="159">
        <v>59409.5</v>
      </c>
      <c r="G234" s="162">
        <v>51545</v>
      </c>
      <c r="H234" s="230">
        <f t="shared" si="12"/>
        <v>54182.574999999997</v>
      </c>
      <c r="I234" s="160">
        <f t="shared" si="11"/>
        <v>415.70808823529416</v>
      </c>
      <c r="J234" s="160">
        <f t="shared" si="11"/>
        <v>341.94097222222223</v>
      </c>
      <c r="K234" s="160">
        <f t="shared" si="11"/>
        <v>337.55397727272725</v>
      </c>
      <c r="L234" s="160">
        <f t="shared" si="11"/>
        <v>322.15625</v>
      </c>
      <c r="P234" s="161">
        <f t="shared" si="13"/>
        <v>461.35044815619426</v>
      </c>
    </row>
    <row r="235" spans="2:16" ht="12.75" customHeight="1" x14ac:dyDescent="0.25">
      <c r="C235" s="156" t="s">
        <v>831</v>
      </c>
      <c r="D235" s="159">
        <v>45491.7</v>
      </c>
      <c r="E235" s="159">
        <v>44074.5</v>
      </c>
      <c r="F235" s="159">
        <v>41978.1</v>
      </c>
      <c r="G235" s="159">
        <v>63939.199999999997</v>
      </c>
      <c r="H235" s="230">
        <f t="shared" si="12"/>
        <v>48870.875</v>
      </c>
      <c r="I235" s="160">
        <f t="shared" si="11"/>
        <v>334.49779411764706</v>
      </c>
      <c r="J235" s="160">
        <f t="shared" si="11"/>
        <v>306.07291666666669</v>
      </c>
      <c r="K235" s="160">
        <f t="shared" si="11"/>
        <v>238.51193181818181</v>
      </c>
      <c r="L235" s="160">
        <f t="shared" si="11"/>
        <v>399.62</v>
      </c>
      <c r="P235" s="161">
        <f t="shared" si="13"/>
        <v>416.21771016711227</v>
      </c>
    </row>
    <row r="236" spans="2:16" ht="12.75" customHeight="1" x14ac:dyDescent="0.25">
      <c r="B236" s="156" t="s">
        <v>832</v>
      </c>
      <c r="C236" s="156" t="s">
        <v>833</v>
      </c>
      <c r="D236" s="159">
        <v>34254.400000000001</v>
      </c>
      <c r="E236" s="159">
        <v>35232.199999999997</v>
      </c>
      <c r="F236" s="159">
        <v>37086.400000000001</v>
      </c>
      <c r="G236" s="159">
        <v>38121.9</v>
      </c>
      <c r="H236" s="230">
        <f t="shared" si="12"/>
        <v>36173.724999999999</v>
      </c>
      <c r="I236" s="160">
        <f t="shared" si="11"/>
        <v>251.87058823529412</v>
      </c>
      <c r="J236" s="160">
        <f t="shared" si="11"/>
        <v>244.66805555555553</v>
      </c>
      <c r="K236" s="160">
        <f t="shared" si="11"/>
        <v>210.71818181818182</v>
      </c>
      <c r="L236" s="160">
        <f t="shared" si="11"/>
        <v>238.261875</v>
      </c>
      <c r="P236" s="161">
        <f t="shared" si="13"/>
        <v>307.76633704823979</v>
      </c>
    </row>
    <row r="237" spans="2:16" ht="12.75" customHeight="1" x14ac:dyDescent="0.25">
      <c r="C237" s="156" t="s">
        <v>834</v>
      </c>
      <c r="D237" s="159">
        <v>43778.8</v>
      </c>
      <c r="E237" s="159">
        <v>40606.9</v>
      </c>
      <c r="F237" s="159">
        <v>43814.3</v>
      </c>
      <c r="G237" s="159">
        <v>42395.8</v>
      </c>
      <c r="H237" s="230">
        <f t="shared" si="12"/>
        <v>42648.950000000004</v>
      </c>
      <c r="I237" s="160">
        <f t="shared" si="11"/>
        <v>321.90294117647062</v>
      </c>
      <c r="J237" s="160">
        <f t="shared" si="11"/>
        <v>281.99236111111111</v>
      </c>
      <c r="K237" s="160">
        <f t="shared" si="11"/>
        <v>248.94488636363639</v>
      </c>
      <c r="L237" s="160">
        <f t="shared" si="11"/>
        <v>264.97375</v>
      </c>
      <c r="P237" s="161">
        <f t="shared" si="13"/>
        <v>363.84843703097147</v>
      </c>
    </row>
    <row r="238" spans="2:16" ht="12.75" customHeight="1" x14ac:dyDescent="0.25">
      <c r="C238" s="156" t="s">
        <v>835</v>
      </c>
      <c r="D238" s="159">
        <v>42742.2</v>
      </c>
      <c r="E238" s="159">
        <v>40240.199999999997</v>
      </c>
      <c r="F238" s="159">
        <v>41902.300000000003</v>
      </c>
      <c r="G238" s="159">
        <v>42549.7</v>
      </c>
      <c r="H238" s="230">
        <f t="shared" si="12"/>
        <v>41858.6</v>
      </c>
      <c r="I238" s="160">
        <f t="shared" si="11"/>
        <v>314.28088235294115</v>
      </c>
      <c r="J238" s="160">
        <f t="shared" si="11"/>
        <v>279.44583333333333</v>
      </c>
      <c r="K238" s="160">
        <f t="shared" si="11"/>
        <v>238.08125000000001</v>
      </c>
      <c r="L238" s="160">
        <f t="shared" si="11"/>
        <v>265.93562499999996</v>
      </c>
      <c r="P238" s="161">
        <f t="shared" si="13"/>
        <v>357.31553876838228</v>
      </c>
    </row>
    <row r="239" spans="2:16" ht="12.75" customHeight="1" x14ac:dyDescent="0.25">
      <c r="B239" s="156" t="s">
        <v>836</v>
      </c>
      <c r="C239" s="156" t="s">
        <v>837</v>
      </c>
      <c r="D239" s="159">
        <v>70093.899999999994</v>
      </c>
      <c r="E239" s="162">
        <v>64787</v>
      </c>
      <c r="F239" s="159">
        <v>80515.3</v>
      </c>
      <c r="G239" s="159">
        <v>74378.399999999994</v>
      </c>
      <c r="H239" s="230">
        <f t="shared" si="12"/>
        <v>72443.649999999994</v>
      </c>
      <c r="I239" s="160">
        <f t="shared" si="11"/>
        <v>515.39632352941169</v>
      </c>
      <c r="J239" s="160">
        <f t="shared" si="11"/>
        <v>449.90972222222223</v>
      </c>
      <c r="K239" s="160">
        <f t="shared" si="11"/>
        <v>457.47329545454545</v>
      </c>
      <c r="L239" s="160">
        <f t="shared" si="11"/>
        <v>464.86499999999995</v>
      </c>
      <c r="P239" s="161">
        <f t="shared" si="13"/>
        <v>614.42823306261141</v>
      </c>
    </row>
    <row r="240" spans="2:16" ht="12.75" customHeight="1" x14ac:dyDescent="0.25">
      <c r="C240" s="156" t="s">
        <v>838</v>
      </c>
      <c r="D240" s="159">
        <v>34710.699999999997</v>
      </c>
      <c r="E240" s="159">
        <v>36226.699999999997</v>
      </c>
      <c r="F240" s="159">
        <v>37995.199999999997</v>
      </c>
      <c r="G240" s="159">
        <v>37112.5</v>
      </c>
      <c r="H240" s="230">
        <f t="shared" si="12"/>
        <v>36511.274999999994</v>
      </c>
      <c r="I240" s="160">
        <f t="shared" ref="I240:L270" si="14">D240/I$5/8</f>
        <v>255.22573529411761</v>
      </c>
      <c r="J240" s="160">
        <f t="shared" si="14"/>
        <v>251.57430555555553</v>
      </c>
      <c r="K240" s="160">
        <f t="shared" si="14"/>
        <v>215.88181818181818</v>
      </c>
      <c r="L240" s="160">
        <f t="shared" si="14"/>
        <v>231.953125</v>
      </c>
      <c r="P240" s="161">
        <f t="shared" si="13"/>
        <v>310.73368730225042</v>
      </c>
    </row>
    <row r="241" spans="1:16" ht="12.75" customHeight="1" x14ac:dyDescent="0.25">
      <c r="C241" s="156" t="s">
        <v>839</v>
      </c>
      <c r="D241" s="162">
        <v>77953</v>
      </c>
      <c r="E241" s="159">
        <v>117786.4</v>
      </c>
      <c r="F241" s="159">
        <v>90340.6</v>
      </c>
      <c r="G241" s="159">
        <v>97897.8</v>
      </c>
      <c r="H241" s="230">
        <f t="shared" si="12"/>
        <v>95994.45</v>
      </c>
      <c r="I241" s="160">
        <f t="shared" si="14"/>
        <v>573.18382352941171</v>
      </c>
      <c r="J241" s="160">
        <f t="shared" si="14"/>
        <v>817.96111111111111</v>
      </c>
      <c r="K241" s="160">
        <f t="shared" si="14"/>
        <v>513.29886363636365</v>
      </c>
      <c r="L241" s="160">
        <f t="shared" si="14"/>
        <v>611.86125000000004</v>
      </c>
      <c r="P241" s="161">
        <f t="shared" si="13"/>
        <v>819.05729321412662</v>
      </c>
    </row>
    <row r="242" spans="1:16" ht="12.75" customHeight="1" x14ac:dyDescent="0.25">
      <c r="C242" s="156" t="s">
        <v>840</v>
      </c>
      <c r="D242" s="159">
        <v>65621.399999999994</v>
      </c>
      <c r="E242" s="159">
        <v>73257.3</v>
      </c>
      <c r="F242" s="159">
        <v>68498.600000000006</v>
      </c>
      <c r="G242" s="159">
        <v>71170.8</v>
      </c>
      <c r="H242" s="230">
        <f t="shared" si="12"/>
        <v>69637.025000000009</v>
      </c>
      <c r="I242" s="160">
        <f t="shared" si="14"/>
        <v>482.51029411764699</v>
      </c>
      <c r="J242" s="160">
        <f t="shared" si="14"/>
        <v>508.73125000000005</v>
      </c>
      <c r="K242" s="160">
        <f t="shared" si="14"/>
        <v>389.19659090909096</v>
      </c>
      <c r="L242" s="160">
        <f t="shared" si="14"/>
        <v>444.8175</v>
      </c>
      <c r="P242" s="161">
        <f t="shared" si="13"/>
        <v>594.12070920120311</v>
      </c>
    </row>
    <row r="243" spans="1:16" ht="12.75" customHeight="1" x14ac:dyDescent="0.25">
      <c r="A243" s="156" t="s">
        <v>841</v>
      </c>
      <c r="B243" s="156" t="s">
        <v>842</v>
      </c>
      <c r="C243" s="156" t="s">
        <v>843</v>
      </c>
      <c r="D243" s="162">
        <v>60902</v>
      </c>
      <c r="E243" s="159">
        <v>65965.2</v>
      </c>
      <c r="F243" s="159">
        <v>72793.600000000006</v>
      </c>
      <c r="G243" s="159">
        <v>78041.7</v>
      </c>
      <c r="H243" s="230">
        <f t="shared" si="12"/>
        <v>69425.625</v>
      </c>
      <c r="I243" s="160">
        <f t="shared" si="14"/>
        <v>447.80882352941177</v>
      </c>
      <c r="J243" s="160">
        <f t="shared" si="14"/>
        <v>458.09166666666664</v>
      </c>
      <c r="K243" s="160">
        <f t="shared" si="14"/>
        <v>413.6</v>
      </c>
      <c r="L243" s="160">
        <f t="shared" si="14"/>
        <v>487.760625</v>
      </c>
      <c r="P243" s="161">
        <f t="shared" si="13"/>
        <v>588.26349299632352</v>
      </c>
    </row>
    <row r="244" spans="1:16" ht="12.75" customHeight="1" x14ac:dyDescent="0.25">
      <c r="C244" s="156" t="s">
        <v>844</v>
      </c>
      <c r="D244" s="159">
        <v>56685.7</v>
      </c>
      <c r="E244" s="159">
        <v>57124.5</v>
      </c>
      <c r="F244" s="159">
        <v>60517.3</v>
      </c>
      <c r="G244" s="159">
        <v>61777.1</v>
      </c>
      <c r="H244" s="230">
        <f t="shared" si="12"/>
        <v>59026.15</v>
      </c>
      <c r="I244" s="160">
        <f t="shared" si="14"/>
        <v>416.80661764705883</v>
      </c>
      <c r="J244" s="160">
        <f t="shared" si="14"/>
        <v>396.69791666666669</v>
      </c>
      <c r="K244" s="160">
        <f t="shared" si="14"/>
        <v>343.84829545454545</v>
      </c>
      <c r="L244" s="160">
        <f t="shared" si="14"/>
        <v>386.106875</v>
      </c>
      <c r="P244" s="161">
        <f t="shared" si="13"/>
        <v>502.39613390207222</v>
      </c>
    </row>
    <row r="245" spans="1:16" ht="12.75" customHeight="1" x14ac:dyDescent="0.25">
      <c r="C245" s="156" t="s">
        <v>845</v>
      </c>
      <c r="D245" s="159">
        <v>41526.800000000003</v>
      </c>
      <c r="E245" s="159">
        <v>43054.3</v>
      </c>
      <c r="F245" s="159">
        <v>74088.3</v>
      </c>
      <c r="G245" s="159">
        <v>51988.9</v>
      </c>
      <c r="H245" s="230">
        <f t="shared" si="12"/>
        <v>52664.575000000004</v>
      </c>
      <c r="I245" s="160">
        <f t="shared" si="14"/>
        <v>305.34411764705885</v>
      </c>
      <c r="J245" s="160">
        <f t="shared" si="14"/>
        <v>298.98819444444445</v>
      </c>
      <c r="K245" s="160">
        <f t="shared" si="14"/>
        <v>420.95625000000001</v>
      </c>
      <c r="L245" s="160">
        <f t="shared" si="14"/>
        <v>324.93062500000002</v>
      </c>
      <c r="P245" s="161">
        <f t="shared" si="13"/>
        <v>439.49634539828435</v>
      </c>
    </row>
    <row r="246" spans="1:16" ht="12.75" customHeight="1" x14ac:dyDescent="0.25">
      <c r="A246" s="156" t="s">
        <v>846</v>
      </c>
      <c r="B246" s="156" t="s">
        <v>847</v>
      </c>
      <c r="C246" s="156" t="s">
        <v>848</v>
      </c>
      <c r="D246" s="159">
        <v>43041.2</v>
      </c>
      <c r="E246" s="159">
        <v>44097.8</v>
      </c>
      <c r="F246" s="159">
        <v>45680.3</v>
      </c>
      <c r="G246" s="159">
        <v>45019.1</v>
      </c>
      <c r="H246" s="230">
        <f t="shared" si="12"/>
        <v>44459.6</v>
      </c>
      <c r="I246" s="160">
        <f t="shared" si="14"/>
        <v>316.47941176470584</v>
      </c>
      <c r="J246" s="160">
        <f t="shared" si="14"/>
        <v>306.23472222222222</v>
      </c>
      <c r="K246" s="160">
        <f t="shared" si="14"/>
        <v>259.54715909090913</v>
      </c>
      <c r="L246" s="160">
        <f t="shared" si="14"/>
        <v>281.36937499999999</v>
      </c>
      <c r="P246" s="161">
        <f t="shared" si="13"/>
        <v>378.76178245933608</v>
      </c>
    </row>
    <row r="247" spans="1:16" ht="12.75" customHeight="1" x14ac:dyDescent="0.25">
      <c r="C247" s="156" t="s">
        <v>849</v>
      </c>
      <c r="D247" s="159">
        <v>64176.9</v>
      </c>
      <c r="E247" s="159">
        <v>65936.5</v>
      </c>
      <c r="F247" s="159">
        <v>74876.399999999994</v>
      </c>
      <c r="G247" s="159">
        <v>70721.600000000006</v>
      </c>
      <c r="H247" s="230">
        <f t="shared" si="12"/>
        <v>68927.850000000006</v>
      </c>
      <c r="I247" s="160">
        <f t="shared" si="14"/>
        <v>471.88897058823528</v>
      </c>
      <c r="J247" s="160">
        <f t="shared" si="14"/>
        <v>457.89236111111109</v>
      </c>
      <c r="K247" s="160">
        <f t="shared" si="14"/>
        <v>425.43409090909086</v>
      </c>
      <c r="L247" s="160">
        <f t="shared" si="14"/>
        <v>442.01000000000005</v>
      </c>
      <c r="P247" s="161">
        <f t="shared" si="13"/>
        <v>584.99687505904626</v>
      </c>
    </row>
    <row r="248" spans="1:16" ht="12.75" customHeight="1" x14ac:dyDescent="0.25">
      <c r="C248" s="156" t="s">
        <v>850</v>
      </c>
      <c r="D248" s="159">
        <v>48879.9</v>
      </c>
      <c r="E248" s="159">
        <v>49088.7</v>
      </c>
      <c r="F248" s="159">
        <v>56636.800000000003</v>
      </c>
      <c r="G248" s="159">
        <v>56687.4</v>
      </c>
      <c r="H248" s="230">
        <f t="shared" si="12"/>
        <v>52823.200000000004</v>
      </c>
      <c r="I248" s="160">
        <f t="shared" si="14"/>
        <v>359.41102941176473</v>
      </c>
      <c r="J248" s="160">
        <f t="shared" si="14"/>
        <v>340.89374999999995</v>
      </c>
      <c r="K248" s="160">
        <f t="shared" si="14"/>
        <v>321.8</v>
      </c>
      <c r="L248" s="160">
        <f t="shared" si="14"/>
        <v>354.29624999999999</v>
      </c>
      <c r="P248" s="161">
        <f t="shared" si="13"/>
        <v>448.01853507352945</v>
      </c>
    </row>
    <row r="249" spans="1:16" ht="12.75" customHeight="1" x14ac:dyDescent="0.25">
      <c r="C249" s="156" t="s">
        <v>851</v>
      </c>
      <c r="D249" s="159">
        <v>47959.5</v>
      </c>
      <c r="E249" s="159">
        <v>49954.400000000001</v>
      </c>
      <c r="F249" s="159">
        <v>53743.199999999997</v>
      </c>
      <c r="G249" s="159">
        <v>51810.7</v>
      </c>
      <c r="H249" s="230">
        <f t="shared" si="12"/>
        <v>50866.95</v>
      </c>
      <c r="I249" s="160">
        <f t="shared" si="14"/>
        <v>352.64338235294116</v>
      </c>
      <c r="J249" s="160">
        <f t="shared" si="14"/>
        <v>346.90555555555557</v>
      </c>
      <c r="K249" s="160">
        <f t="shared" si="14"/>
        <v>305.35909090909087</v>
      </c>
      <c r="L249" s="160">
        <f t="shared" si="14"/>
        <v>323.81687499999998</v>
      </c>
      <c r="P249" s="161">
        <f t="shared" si="13"/>
        <v>432.49995619262478</v>
      </c>
    </row>
    <row r="250" spans="1:16" ht="12.75" customHeight="1" x14ac:dyDescent="0.25">
      <c r="A250" s="156" t="s">
        <v>852</v>
      </c>
      <c r="B250" s="156" t="s">
        <v>853</v>
      </c>
      <c r="C250" s="156" t="s">
        <v>854</v>
      </c>
      <c r="D250" s="159">
        <v>59134.1</v>
      </c>
      <c r="E250" s="159">
        <v>57112.800000000003</v>
      </c>
      <c r="F250" s="159">
        <v>59203.6</v>
      </c>
      <c r="G250" s="162">
        <v>59351</v>
      </c>
      <c r="H250" s="230">
        <f t="shared" si="12"/>
        <v>58700.375</v>
      </c>
      <c r="I250" s="160">
        <f t="shared" si="14"/>
        <v>434.80955882352941</v>
      </c>
      <c r="J250" s="160">
        <f t="shared" si="14"/>
        <v>396.61666666666667</v>
      </c>
      <c r="K250" s="160">
        <f t="shared" si="14"/>
        <v>336.3840909090909</v>
      </c>
      <c r="L250" s="160">
        <f t="shared" si="14"/>
        <v>370.94375000000002</v>
      </c>
      <c r="P250" s="161">
        <f t="shared" si="13"/>
        <v>500.86444861296786</v>
      </c>
    </row>
    <row r="251" spans="1:16" ht="12.75" customHeight="1" x14ac:dyDescent="0.25">
      <c r="C251" s="156" t="s">
        <v>855</v>
      </c>
      <c r="D251" s="162">
        <v>59131</v>
      </c>
      <c r="E251" s="159">
        <v>58889.3</v>
      </c>
      <c r="F251" s="159">
        <v>63916.5</v>
      </c>
      <c r="G251" s="159">
        <v>64346.400000000001</v>
      </c>
      <c r="H251" s="230">
        <f t="shared" si="12"/>
        <v>61570.799999999996</v>
      </c>
      <c r="I251" s="160">
        <f t="shared" si="14"/>
        <v>434.78676470588238</v>
      </c>
      <c r="J251" s="160">
        <f t="shared" si="14"/>
        <v>408.95347222222222</v>
      </c>
      <c r="K251" s="160">
        <f t="shared" si="14"/>
        <v>363.16193181818181</v>
      </c>
      <c r="L251" s="160">
        <f t="shared" si="14"/>
        <v>402.16500000000002</v>
      </c>
      <c r="P251" s="161">
        <f t="shared" si="13"/>
        <v>523.75136342691621</v>
      </c>
    </row>
    <row r="252" spans="1:16" ht="12.75" customHeight="1" x14ac:dyDescent="0.25">
      <c r="C252" s="156" t="s">
        <v>856</v>
      </c>
      <c r="D252" s="159">
        <v>56907.7</v>
      </c>
      <c r="E252" s="159">
        <v>54276.4</v>
      </c>
      <c r="F252" s="159">
        <v>58570.1</v>
      </c>
      <c r="G252" s="159">
        <v>57024.1</v>
      </c>
      <c r="H252" s="230">
        <f t="shared" si="12"/>
        <v>56694.575000000004</v>
      </c>
      <c r="I252" s="160">
        <f t="shared" si="14"/>
        <v>418.43897058823529</v>
      </c>
      <c r="J252" s="160">
        <f t="shared" si="14"/>
        <v>376.91944444444448</v>
      </c>
      <c r="K252" s="160">
        <f t="shared" si="14"/>
        <v>332.78465909090909</v>
      </c>
      <c r="L252" s="160">
        <f t="shared" si="14"/>
        <v>356.40062499999999</v>
      </c>
      <c r="P252" s="161">
        <f t="shared" si="13"/>
        <v>483.21897406472817</v>
      </c>
    </row>
    <row r="253" spans="1:16" ht="12.75" customHeight="1" x14ac:dyDescent="0.25">
      <c r="B253" s="156" t="s">
        <v>857</v>
      </c>
      <c r="C253" s="156" t="s">
        <v>858</v>
      </c>
      <c r="D253" s="159">
        <v>32540.799999999999</v>
      </c>
      <c r="E253" s="159">
        <v>33917.699999999997</v>
      </c>
      <c r="F253" s="159">
        <v>35839.699999999997</v>
      </c>
      <c r="G253" s="159">
        <v>45219.6</v>
      </c>
      <c r="H253" s="230">
        <f t="shared" si="12"/>
        <v>36879.449999999997</v>
      </c>
      <c r="I253" s="160">
        <f t="shared" si="14"/>
        <v>239.2705882352941</v>
      </c>
      <c r="J253" s="160">
        <f t="shared" si="14"/>
        <v>235.53958333333333</v>
      </c>
      <c r="K253" s="160">
        <f t="shared" si="14"/>
        <v>203.63465909090908</v>
      </c>
      <c r="L253" s="160">
        <f t="shared" si="14"/>
        <v>282.6225</v>
      </c>
      <c r="P253" s="161">
        <f t="shared" si="13"/>
        <v>312.82741612967914</v>
      </c>
    </row>
    <row r="254" spans="1:16" ht="12.75" customHeight="1" x14ac:dyDescent="0.25">
      <c r="C254" s="156" t="s">
        <v>859</v>
      </c>
      <c r="D254" s="159">
        <v>32505.200000000001</v>
      </c>
      <c r="E254" s="159">
        <v>31653.9</v>
      </c>
      <c r="F254" s="159">
        <v>31708.400000000001</v>
      </c>
      <c r="G254" s="162">
        <v>31505</v>
      </c>
      <c r="H254" s="230">
        <f t="shared" si="12"/>
        <v>31843.125</v>
      </c>
      <c r="I254" s="160">
        <f t="shared" si="14"/>
        <v>239.00882352941176</v>
      </c>
      <c r="J254" s="160">
        <f t="shared" si="14"/>
        <v>219.81875000000002</v>
      </c>
      <c r="K254" s="160">
        <f t="shared" si="14"/>
        <v>180.16136363636363</v>
      </c>
      <c r="L254" s="160">
        <f t="shared" si="14"/>
        <v>196.90625</v>
      </c>
      <c r="P254" s="161">
        <f t="shared" si="13"/>
        <v>272.08388342245991</v>
      </c>
    </row>
    <row r="255" spans="1:16" ht="12.75" customHeight="1" x14ac:dyDescent="0.25">
      <c r="C255" s="156" t="s">
        <v>860</v>
      </c>
      <c r="D255" s="159">
        <v>40130.400000000001</v>
      </c>
      <c r="E255" s="159">
        <v>38461.4</v>
      </c>
      <c r="F255" s="159">
        <v>39667.199999999997</v>
      </c>
      <c r="G255" s="162">
        <v>39709</v>
      </c>
      <c r="H255" s="230">
        <f t="shared" si="12"/>
        <v>39492</v>
      </c>
      <c r="I255" s="160">
        <f t="shared" si="14"/>
        <v>295.07647058823528</v>
      </c>
      <c r="J255" s="160">
        <f t="shared" si="14"/>
        <v>267.09305555555557</v>
      </c>
      <c r="K255" s="160">
        <f t="shared" si="14"/>
        <v>225.38181818181818</v>
      </c>
      <c r="L255" s="160">
        <f t="shared" si="14"/>
        <v>248.18125000000001</v>
      </c>
      <c r="P255" s="161">
        <f t="shared" si="13"/>
        <v>337.13095945298573</v>
      </c>
    </row>
    <row r="256" spans="1:16" ht="12.75" customHeight="1" x14ac:dyDescent="0.25">
      <c r="C256" s="156" t="s">
        <v>861</v>
      </c>
      <c r="D256" s="159">
        <v>44924.5</v>
      </c>
      <c r="E256" s="159">
        <v>43193.7</v>
      </c>
      <c r="F256" s="159">
        <v>44839.8</v>
      </c>
      <c r="G256" s="162">
        <v>44990</v>
      </c>
      <c r="H256" s="230">
        <f t="shared" si="12"/>
        <v>44487</v>
      </c>
      <c r="I256" s="160">
        <f t="shared" si="14"/>
        <v>330.32720588235293</v>
      </c>
      <c r="J256" s="160">
        <f t="shared" si="14"/>
        <v>299.95624999999995</v>
      </c>
      <c r="K256" s="160">
        <f t="shared" si="14"/>
        <v>254.77159090909092</v>
      </c>
      <c r="L256" s="160">
        <f t="shared" si="14"/>
        <v>281.1875</v>
      </c>
      <c r="P256" s="161">
        <f t="shared" si="13"/>
        <v>379.61194898061495</v>
      </c>
    </row>
    <row r="257" spans="1:16" ht="12.75" customHeight="1" x14ac:dyDescent="0.25">
      <c r="B257" s="156" t="s">
        <v>862</v>
      </c>
      <c r="C257" s="156" t="s">
        <v>863</v>
      </c>
      <c r="D257" s="159">
        <v>42989.9</v>
      </c>
      <c r="E257" s="159">
        <v>43335.8</v>
      </c>
      <c r="F257" s="159">
        <v>45835.4</v>
      </c>
      <c r="G257" s="159">
        <v>45063.3</v>
      </c>
      <c r="H257" s="230">
        <f t="shared" si="12"/>
        <v>44306.100000000006</v>
      </c>
      <c r="I257" s="160">
        <f t="shared" si="14"/>
        <v>316.10220588235296</v>
      </c>
      <c r="J257" s="160">
        <f t="shared" si="14"/>
        <v>300.94305555555559</v>
      </c>
      <c r="K257" s="160">
        <f t="shared" si="14"/>
        <v>260.4284090909091</v>
      </c>
      <c r="L257" s="160">
        <f t="shared" si="14"/>
        <v>281.645625</v>
      </c>
      <c r="P257" s="161">
        <f t="shared" si="13"/>
        <v>377.29333069463013</v>
      </c>
    </row>
    <row r="258" spans="1:16" ht="12.75" customHeight="1" x14ac:dyDescent="0.25">
      <c r="C258" s="156" t="s">
        <v>864</v>
      </c>
      <c r="D258" s="159">
        <v>43274.6</v>
      </c>
      <c r="E258" s="159">
        <v>44434.9</v>
      </c>
      <c r="F258" s="159">
        <v>45994.9</v>
      </c>
      <c r="G258" s="159">
        <v>46508.3</v>
      </c>
      <c r="H258" s="230">
        <f t="shared" si="12"/>
        <v>45053.175000000003</v>
      </c>
      <c r="I258" s="160">
        <f t="shared" si="14"/>
        <v>318.19558823529411</v>
      </c>
      <c r="J258" s="160">
        <f t="shared" si="14"/>
        <v>308.57569444444448</v>
      </c>
      <c r="K258" s="160">
        <f t="shared" si="14"/>
        <v>261.3346590909091</v>
      </c>
      <c r="L258" s="160">
        <f t="shared" si="14"/>
        <v>290.676875</v>
      </c>
      <c r="P258" s="161">
        <f t="shared" si="13"/>
        <v>383.69380685884579</v>
      </c>
    </row>
    <row r="259" spans="1:16" ht="12.75" customHeight="1" x14ac:dyDescent="0.25">
      <c r="A259" s="156" t="s">
        <v>865</v>
      </c>
      <c r="B259" s="156" t="s">
        <v>866</v>
      </c>
      <c r="C259" s="156" t="s">
        <v>867</v>
      </c>
      <c r="D259" s="159">
        <v>54750.8</v>
      </c>
      <c r="E259" s="159">
        <v>53637.4</v>
      </c>
      <c r="F259" s="159">
        <v>58358.1</v>
      </c>
      <c r="G259" s="159">
        <v>55466.8</v>
      </c>
      <c r="H259" s="230">
        <f t="shared" si="12"/>
        <v>55553.275000000009</v>
      </c>
      <c r="I259" s="160">
        <f t="shared" si="14"/>
        <v>402.57941176470592</v>
      </c>
      <c r="J259" s="160">
        <f t="shared" si="14"/>
        <v>372.48194444444448</v>
      </c>
      <c r="K259" s="160">
        <f t="shared" si="14"/>
        <v>331.58011363636365</v>
      </c>
      <c r="L259" s="160">
        <f t="shared" si="14"/>
        <v>346.66750000000002</v>
      </c>
      <c r="P259" s="161">
        <f t="shared" si="13"/>
        <v>473.05206968471487</v>
      </c>
    </row>
    <row r="260" spans="1:16" ht="12.75" customHeight="1" x14ac:dyDescent="0.25">
      <c r="B260" s="156" t="s">
        <v>868</v>
      </c>
      <c r="C260" s="156" t="s">
        <v>869</v>
      </c>
      <c r="D260" s="159">
        <v>49161.4</v>
      </c>
      <c r="E260" s="159">
        <v>48621.4</v>
      </c>
      <c r="F260" s="159">
        <v>56188.800000000003</v>
      </c>
      <c r="G260" s="159">
        <v>50830.8</v>
      </c>
      <c r="H260" s="230">
        <f t="shared" si="12"/>
        <v>51200.600000000006</v>
      </c>
      <c r="I260" s="160">
        <f t="shared" si="14"/>
        <v>361.48088235294119</v>
      </c>
      <c r="J260" s="160">
        <f t="shared" si="14"/>
        <v>337.64861111111111</v>
      </c>
      <c r="K260" s="160">
        <f t="shared" si="14"/>
        <v>319.25454545454545</v>
      </c>
      <c r="L260" s="160">
        <f t="shared" si="14"/>
        <v>317.6925</v>
      </c>
      <c r="P260" s="161">
        <f t="shared" si="13"/>
        <v>434.89291341800356</v>
      </c>
    </row>
    <row r="261" spans="1:16" ht="12.75" customHeight="1" x14ac:dyDescent="0.25">
      <c r="B261" s="156" t="s">
        <v>870</v>
      </c>
      <c r="C261" s="156" t="s">
        <v>871</v>
      </c>
      <c r="D261" s="159">
        <v>57288.6</v>
      </c>
      <c r="E261" s="159">
        <v>61792.800000000003</v>
      </c>
      <c r="F261" s="159">
        <v>58469.2</v>
      </c>
      <c r="G261" s="159">
        <v>55574.400000000001</v>
      </c>
      <c r="H261" s="230">
        <f t="shared" si="12"/>
        <v>58281.249999999993</v>
      </c>
      <c r="I261" s="160">
        <f t="shared" si="14"/>
        <v>421.23970588235295</v>
      </c>
      <c r="J261" s="160">
        <f t="shared" si="14"/>
        <v>429.11666666666667</v>
      </c>
      <c r="K261" s="160">
        <f t="shared" si="14"/>
        <v>332.21136363636361</v>
      </c>
      <c r="L261" s="160">
        <f t="shared" si="14"/>
        <v>347.34000000000003</v>
      </c>
      <c r="P261" s="161">
        <f t="shared" si="13"/>
        <v>497.9849681283423</v>
      </c>
    </row>
    <row r="262" spans="1:16" ht="12.75" customHeight="1" x14ac:dyDescent="0.25">
      <c r="C262" s="156" t="s">
        <v>872</v>
      </c>
      <c r="D262" s="159">
        <v>146984.79999999999</v>
      </c>
      <c r="E262" s="159">
        <v>118540.2</v>
      </c>
      <c r="F262" s="159">
        <v>123511.3</v>
      </c>
      <c r="G262" s="162">
        <v>133826</v>
      </c>
      <c r="H262" s="230">
        <f t="shared" si="12"/>
        <v>130715.575</v>
      </c>
      <c r="I262" s="160">
        <f t="shared" si="14"/>
        <v>1080.7705882352941</v>
      </c>
      <c r="J262" s="160">
        <f t="shared" si="14"/>
        <v>823.19583333333333</v>
      </c>
      <c r="K262" s="160">
        <f t="shared" si="14"/>
        <v>701.76875000000007</v>
      </c>
      <c r="L262" s="160">
        <f t="shared" si="14"/>
        <v>836.41250000000002</v>
      </c>
      <c r="P262" s="161">
        <f t="shared" si="13"/>
        <v>1120.4190670955884</v>
      </c>
    </row>
    <row r="263" spans="1:16" ht="12.75" customHeight="1" x14ac:dyDescent="0.25">
      <c r="B263" s="156" t="s">
        <v>873</v>
      </c>
      <c r="C263" s="156" t="s">
        <v>874</v>
      </c>
      <c r="D263" s="159">
        <v>67299.7</v>
      </c>
      <c r="E263" s="159">
        <v>69152.7</v>
      </c>
      <c r="F263" s="159">
        <v>74108.7</v>
      </c>
      <c r="G263" s="159">
        <v>79079.100000000006</v>
      </c>
      <c r="H263" s="230">
        <f t="shared" ref="H263:H270" si="15">AVERAGE(D263:G263)</f>
        <v>72410.049999999988</v>
      </c>
      <c r="I263" s="160">
        <f t="shared" si="14"/>
        <v>494.85073529411761</v>
      </c>
      <c r="J263" s="160">
        <f t="shared" si="14"/>
        <v>480.22708333333333</v>
      </c>
      <c r="K263" s="160">
        <f t="shared" si="14"/>
        <v>421.07215909090905</v>
      </c>
      <c r="L263" s="160">
        <f t="shared" si="14"/>
        <v>494.24437500000005</v>
      </c>
      <c r="P263" s="161">
        <f t="shared" ref="P263:P270" si="16">AVERAGE(I263:L263)*1.302</f>
        <v>615.32336180982611</v>
      </c>
    </row>
    <row r="264" spans="1:16" ht="12.75" customHeight="1" x14ac:dyDescent="0.25">
      <c r="C264" s="156" t="s">
        <v>875</v>
      </c>
      <c r="D264" s="162">
        <v>41702</v>
      </c>
      <c r="E264" s="162">
        <v>42814</v>
      </c>
      <c r="F264" s="159">
        <v>46269.2</v>
      </c>
      <c r="G264" s="159">
        <v>46327.4</v>
      </c>
      <c r="H264" s="230">
        <f t="shared" si="15"/>
        <v>44278.15</v>
      </c>
      <c r="I264" s="160">
        <f t="shared" si="14"/>
        <v>306.63235294117646</v>
      </c>
      <c r="J264" s="160">
        <f t="shared" si="14"/>
        <v>297.31944444444446</v>
      </c>
      <c r="K264" s="160">
        <f t="shared" si="14"/>
        <v>262.8931818181818</v>
      </c>
      <c r="L264" s="160">
        <f t="shared" si="14"/>
        <v>289.54624999999999</v>
      </c>
      <c r="P264" s="161">
        <f t="shared" si="16"/>
        <v>376.40534510583774</v>
      </c>
    </row>
    <row r="265" spans="1:16" ht="12.75" customHeight="1" x14ac:dyDescent="0.25">
      <c r="A265" s="156" t="s">
        <v>876</v>
      </c>
      <c r="B265" s="156" t="s">
        <v>877</v>
      </c>
      <c r="C265" s="156" t="s">
        <v>878</v>
      </c>
      <c r="D265" s="159">
        <v>100084.2</v>
      </c>
      <c r="E265" s="159">
        <v>99879.8</v>
      </c>
      <c r="F265" s="159">
        <v>112823.7</v>
      </c>
      <c r="G265" s="159">
        <v>104169.8</v>
      </c>
      <c r="H265" s="230">
        <f t="shared" si="15"/>
        <v>104239.375</v>
      </c>
      <c r="I265" s="160">
        <f t="shared" si="14"/>
        <v>735.91323529411761</v>
      </c>
      <c r="J265" s="160">
        <f t="shared" si="14"/>
        <v>693.60972222222222</v>
      </c>
      <c r="K265" s="160">
        <f t="shared" si="14"/>
        <v>641.04374999999993</v>
      </c>
      <c r="L265" s="160">
        <f t="shared" si="14"/>
        <v>651.06124999999997</v>
      </c>
      <c r="P265" s="161">
        <f t="shared" si="16"/>
        <v>885.88990017156868</v>
      </c>
    </row>
    <row r="266" spans="1:16" ht="12.75" customHeight="1" x14ac:dyDescent="0.25">
      <c r="C266" s="156" t="s">
        <v>879</v>
      </c>
      <c r="D266" s="159">
        <v>82586.5</v>
      </c>
      <c r="E266" s="159">
        <v>89761.8</v>
      </c>
      <c r="F266" s="159">
        <v>100122.2</v>
      </c>
      <c r="G266" s="159">
        <v>101856.2</v>
      </c>
      <c r="H266" s="230">
        <f t="shared" si="15"/>
        <v>93581.675000000003</v>
      </c>
      <c r="I266" s="160">
        <f t="shared" si="14"/>
        <v>607.25367647058829</v>
      </c>
      <c r="J266" s="160">
        <f t="shared" si="14"/>
        <v>623.3458333333333</v>
      </c>
      <c r="K266" s="160">
        <f t="shared" si="14"/>
        <v>568.87613636363631</v>
      </c>
      <c r="L266" s="160">
        <f t="shared" si="14"/>
        <v>636.60124999999994</v>
      </c>
      <c r="P266" s="161">
        <f t="shared" si="16"/>
        <v>792.94302970254</v>
      </c>
    </row>
    <row r="267" spans="1:16" ht="12.75" customHeight="1" x14ac:dyDescent="0.25">
      <c r="C267" s="156" t="s">
        <v>880</v>
      </c>
      <c r="D267" s="159">
        <v>51731.7</v>
      </c>
      <c r="E267" s="159">
        <v>51252.1</v>
      </c>
      <c r="F267" s="159">
        <v>53143.7</v>
      </c>
      <c r="G267" s="159">
        <v>59060.800000000003</v>
      </c>
      <c r="H267" s="230">
        <f t="shared" si="15"/>
        <v>53797.074999999997</v>
      </c>
      <c r="I267" s="160">
        <f t="shared" si="14"/>
        <v>380.38014705882352</v>
      </c>
      <c r="J267" s="160">
        <f t="shared" si="14"/>
        <v>355.91736111111112</v>
      </c>
      <c r="K267" s="160">
        <f t="shared" si="14"/>
        <v>301.95284090909087</v>
      </c>
      <c r="L267" s="160">
        <f t="shared" si="14"/>
        <v>369.13</v>
      </c>
      <c r="P267" s="161">
        <f t="shared" si="16"/>
        <v>458.10230362522282</v>
      </c>
    </row>
    <row r="268" spans="1:16" ht="12.75" customHeight="1" x14ac:dyDescent="0.25">
      <c r="B268" s="156" t="s">
        <v>881</v>
      </c>
      <c r="C268" s="156" t="s">
        <v>882</v>
      </c>
      <c r="D268" s="159">
        <v>45594.2</v>
      </c>
      <c r="E268" s="159">
        <v>45205.8</v>
      </c>
      <c r="F268" s="159">
        <v>52446.6</v>
      </c>
      <c r="G268" s="162">
        <v>46942</v>
      </c>
      <c r="H268" s="230">
        <f t="shared" si="15"/>
        <v>47547.15</v>
      </c>
      <c r="I268" s="160">
        <f t="shared" si="14"/>
        <v>335.25147058823529</v>
      </c>
      <c r="J268" s="160">
        <f t="shared" si="14"/>
        <v>313.92916666666667</v>
      </c>
      <c r="K268" s="160">
        <f t="shared" si="14"/>
        <v>297.99204545454546</v>
      </c>
      <c r="L268" s="160">
        <f t="shared" si="14"/>
        <v>293.38749999999999</v>
      </c>
      <c r="P268" s="161">
        <f t="shared" si="16"/>
        <v>403.80233947192517</v>
      </c>
    </row>
    <row r="269" spans="1:16" ht="12.75" customHeight="1" x14ac:dyDescent="0.25">
      <c r="C269" s="156" t="s">
        <v>883</v>
      </c>
      <c r="D269" s="162">
        <v>31908</v>
      </c>
      <c r="E269" s="159">
        <v>30120.2</v>
      </c>
      <c r="F269" s="159">
        <v>25735.3</v>
      </c>
      <c r="G269" s="159">
        <v>35356.400000000001</v>
      </c>
      <c r="H269" s="230">
        <f t="shared" si="15"/>
        <v>30779.974999999999</v>
      </c>
      <c r="I269" s="160">
        <f t="shared" si="14"/>
        <v>234.61764705882354</v>
      </c>
      <c r="J269" s="160">
        <f t="shared" si="14"/>
        <v>209.16805555555555</v>
      </c>
      <c r="K269" s="160">
        <f t="shared" si="14"/>
        <v>146.22329545454545</v>
      </c>
      <c r="L269" s="160">
        <f t="shared" si="14"/>
        <v>220.97750000000002</v>
      </c>
      <c r="P269" s="161">
        <f t="shared" si="16"/>
        <v>263.9761051214349</v>
      </c>
    </row>
    <row r="270" spans="1:16" ht="12.75" customHeight="1" x14ac:dyDescent="0.25">
      <c r="B270" s="156" t="s">
        <v>884</v>
      </c>
      <c r="C270" s="156" t="s">
        <v>885</v>
      </c>
      <c r="D270" s="159">
        <v>45862.400000000001</v>
      </c>
      <c r="E270" s="159">
        <v>45752.4</v>
      </c>
      <c r="F270" s="159">
        <v>71123.899999999994</v>
      </c>
      <c r="G270" s="159">
        <v>42470.6</v>
      </c>
      <c r="H270" s="230">
        <f t="shared" si="15"/>
        <v>51302.325000000004</v>
      </c>
      <c r="I270" s="160">
        <f t="shared" si="14"/>
        <v>337.22352941176473</v>
      </c>
      <c r="J270" s="160">
        <f t="shared" si="14"/>
        <v>317.72500000000002</v>
      </c>
      <c r="K270" s="160">
        <f t="shared" si="14"/>
        <v>404.11306818181816</v>
      </c>
      <c r="L270" s="160">
        <f t="shared" si="14"/>
        <v>265.44124999999997</v>
      </c>
      <c r="P270" s="161">
        <f t="shared" si="16"/>
        <v>431.12567689171124</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Q194" sqref="Q194"/>
    </sheetView>
  </sheetViews>
  <sheetFormatPr defaultRowHeight="15" x14ac:dyDescent="0.25"/>
  <cols>
    <col min="1" max="1" width="4.85546875" customWidth="1"/>
    <col min="2" max="2" width="79.28515625" customWidth="1"/>
  </cols>
  <sheetData>
    <row r="1" spans="1:2" x14ac:dyDescent="0.25">
      <c r="B1" s="1" t="s">
        <v>173</v>
      </c>
    </row>
    <row r="2" spans="1:2" x14ac:dyDescent="0.25">
      <c r="A2" s="10">
        <v>1</v>
      </c>
      <c r="B2" s="130" t="s">
        <v>267</v>
      </c>
    </row>
    <row r="3" spans="1:2" x14ac:dyDescent="0.25">
      <c r="A3" s="10">
        <f t="shared" ref="A3:A17" si="0">A2+1</f>
        <v>2</v>
      </c>
      <c r="B3" s="130" t="s">
        <v>269</v>
      </c>
    </row>
    <row r="4" spans="1:2" x14ac:dyDescent="0.25">
      <c r="A4" s="10">
        <f t="shared" si="0"/>
        <v>3</v>
      </c>
      <c r="B4" s="130" t="s">
        <v>272</v>
      </c>
    </row>
    <row r="5" spans="1:2" x14ac:dyDescent="0.25">
      <c r="A5" s="10">
        <f t="shared" si="0"/>
        <v>4</v>
      </c>
      <c r="B5" s="130" t="s">
        <v>280</v>
      </c>
    </row>
    <row r="6" spans="1:2" ht="30" x14ac:dyDescent="0.25">
      <c r="A6" s="10">
        <f t="shared" si="0"/>
        <v>5</v>
      </c>
      <c r="B6" s="130" t="s">
        <v>275</v>
      </c>
    </row>
    <row r="7" spans="1:2" ht="30" x14ac:dyDescent="0.25">
      <c r="A7" s="10">
        <f t="shared" si="0"/>
        <v>6</v>
      </c>
      <c r="B7" s="130" t="s">
        <v>281</v>
      </c>
    </row>
    <row r="8" spans="1:2" x14ac:dyDescent="0.25">
      <c r="A8" s="10">
        <f t="shared" si="0"/>
        <v>7</v>
      </c>
      <c r="B8" s="130" t="s">
        <v>282</v>
      </c>
    </row>
    <row r="9" spans="1:2" x14ac:dyDescent="0.25">
      <c r="A9" s="10">
        <f t="shared" si="0"/>
        <v>8</v>
      </c>
      <c r="B9" s="130" t="s">
        <v>273</v>
      </c>
    </row>
    <row r="10" spans="1:2" ht="30" x14ac:dyDescent="0.25">
      <c r="A10" s="10">
        <f t="shared" si="0"/>
        <v>9</v>
      </c>
      <c r="B10" s="130" t="s">
        <v>277</v>
      </c>
    </row>
    <row r="11" spans="1:2" x14ac:dyDescent="0.25">
      <c r="A11" s="10">
        <f t="shared" si="0"/>
        <v>10</v>
      </c>
      <c r="B11" s="130" t="s">
        <v>278</v>
      </c>
    </row>
    <row r="12" spans="1:2" x14ac:dyDescent="0.25">
      <c r="A12" s="10">
        <f t="shared" si="0"/>
        <v>11</v>
      </c>
      <c r="B12" s="130" t="s">
        <v>283</v>
      </c>
    </row>
    <row r="13" spans="1:2" x14ac:dyDescent="0.25">
      <c r="A13" s="10">
        <f t="shared" si="0"/>
        <v>12</v>
      </c>
      <c r="B13" s="130" t="s">
        <v>279</v>
      </c>
    </row>
    <row r="14" spans="1:2" x14ac:dyDescent="0.25">
      <c r="A14" s="10">
        <f t="shared" si="0"/>
        <v>13</v>
      </c>
      <c r="B14" s="130" t="s">
        <v>284</v>
      </c>
    </row>
    <row r="15" spans="1:2" x14ac:dyDescent="0.25">
      <c r="A15" s="10">
        <f t="shared" si="0"/>
        <v>14</v>
      </c>
      <c r="B15" s="130" t="s">
        <v>285</v>
      </c>
    </row>
    <row r="16" spans="1:2" x14ac:dyDescent="0.25">
      <c r="A16" s="10">
        <f t="shared" si="0"/>
        <v>15</v>
      </c>
      <c r="B16" s="130" t="s">
        <v>286</v>
      </c>
    </row>
    <row r="17" spans="1:2" x14ac:dyDescent="0.25">
      <c r="A17" s="10">
        <f t="shared" si="0"/>
        <v>16</v>
      </c>
      <c r="B17" s="130" t="s">
        <v>287</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Q194" sqref="Q194"/>
    </sheetView>
  </sheetViews>
  <sheetFormatPr defaultRowHeight="15" x14ac:dyDescent="0.25"/>
  <cols>
    <col min="1" max="1" width="3.85546875" customWidth="1"/>
    <col min="2" max="2" width="77.140625" customWidth="1"/>
  </cols>
  <sheetData>
    <row r="1" spans="1:2" x14ac:dyDescent="0.25">
      <c r="B1" s="1" t="s">
        <v>174</v>
      </c>
    </row>
    <row r="2" spans="1:2" ht="30" x14ac:dyDescent="0.25">
      <c r="A2" s="163">
        <v>1</v>
      </c>
      <c r="B2" s="164" t="s">
        <v>294</v>
      </c>
    </row>
    <row r="3" spans="1:2" x14ac:dyDescent="0.25">
      <c r="A3" s="163">
        <f>A2+1</f>
        <v>2</v>
      </c>
      <c r="B3" s="164" t="s">
        <v>301</v>
      </c>
    </row>
    <row r="4" spans="1:2" x14ac:dyDescent="0.25">
      <c r="A4" s="163">
        <f t="shared" ref="A4:A9" si="0">A3+1</f>
        <v>3</v>
      </c>
      <c r="B4" s="164" t="s">
        <v>303</v>
      </c>
    </row>
    <row r="5" spans="1:2" x14ac:dyDescent="0.25">
      <c r="A5" s="163">
        <f t="shared" si="0"/>
        <v>4</v>
      </c>
      <c r="B5" s="164" t="s">
        <v>306</v>
      </c>
    </row>
    <row r="6" spans="1:2" x14ac:dyDescent="0.25">
      <c r="A6" s="163">
        <f t="shared" si="0"/>
        <v>5</v>
      </c>
      <c r="B6" s="164" t="s">
        <v>309</v>
      </c>
    </row>
    <row r="7" spans="1:2" x14ac:dyDescent="0.25">
      <c r="A7" s="163">
        <f t="shared" si="0"/>
        <v>6</v>
      </c>
      <c r="B7" s="164" t="s">
        <v>326</v>
      </c>
    </row>
    <row r="8" spans="1:2" x14ac:dyDescent="0.25">
      <c r="A8" s="163">
        <f t="shared" si="0"/>
        <v>7</v>
      </c>
      <c r="B8" s="164" t="s">
        <v>328</v>
      </c>
    </row>
    <row r="9" spans="1:2" x14ac:dyDescent="0.25">
      <c r="A9" s="163">
        <f t="shared" si="0"/>
        <v>8</v>
      </c>
      <c r="B9" s="164" t="s">
        <v>372</v>
      </c>
    </row>
    <row r="10" spans="1:2" x14ac:dyDescent="0.25">
      <c r="A10" s="163">
        <v>9</v>
      </c>
      <c r="B10" s="2" t="s">
        <v>886</v>
      </c>
    </row>
    <row r="11" spans="1:2" x14ac:dyDescent="0.25">
      <c r="A11" s="163">
        <v>10</v>
      </c>
      <c r="B11" s="2" t="s">
        <v>466</v>
      </c>
    </row>
    <row r="12" spans="1:2" x14ac:dyDescent="0.25">
      <c r="A12" s="163">
        <v>11</v>
      </c>
      <c r="B12" s="164" t="s">
        <v>287</v>
      </c>
    </row>
    <row r="13" spans="1:2" x14ac:dyDescent="0.25">
      <c r="A13" s="163">
        <v>12</v>
      </c>
      <c r="B13" s="165" t="s">
        <v>464</v>
      </c>
    </row>
    <row r="14" spans="1:2" x14ac:dyDescent="0.25">
      <c r="A14" s="163">
        <v>13</v>
      </c>
      <c r="B14" s="2" t="s">
        <v>466</v>
      </c>
    </row>
    <row r="15" spans="1:2" x14ac:dyDescent="0.25">
      <c r="A15" s="163">
        <v>14</v>
      </c>
      <c r="B15" s="2" t="s">
        <v>1145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I24" sqref="I24"/>
    </sheetView>
  </sheetViews>
  <sheetFormatPr defaultRowHeight="15" x14ac:dyDescent="0.25"/>
  <cols>
    <col min="1" max="1" width="6.28515625" customWidth="1"/>
    <col min="2" max="2" width="80.28515625" customWidth="1"/>
  </cols>
  <sheetData>
    <row r="1" spans="1:4" x14ac:dyDescent="0.25">
      <c r="B1" s="1" t="s">
        <v>175</v>
      </c>
      <c r="D1" t="s">
        <v>887</v>
      </c>
    </row>
    <row r="2" spans="1:4" x14ac:dyDescent="0.25">
      <c r="A2" s="163">
        <v>1</v>
      </c>
      <c r="B2" s="165" t="s">
        <v>888</v>
      </c>
    </row>
    <row r="3" spans="1:4" ht="30" x14ac:dyDescent="0.25">
      <c r="A3" s="163">
        <f>A2+1</f>
        <v>2</v>
      </c>
      <c r="B3" s="165" t="s">
        <v>294</v>
      </c>
    </row>
    <row r="4" spans="1:4" x14ac:dyDescent="0.25">
      <c r="A4" s="163">
        <f t="shared" ref="A4:A26" si="0">A3+1</f>
        <v>3</v>
      </c>
      <c r="B4" s="165" t="s">
        <v>889</v>
      </c>
    </row>
    <row r="5" spans="1:4" x14ac:dyDescent="0.25">
      <c r="A5" s="163">
        <f t="shared" si="0"/>
        <v>4</v>
      </c>
      <c r="B5" s="165" t="s">
        <v>303</v>
      </c>
    </row>
    <row r="6" spans="1:4" x14ac:dyDescent="0.25">
      <c r="A6" s="163">
        <f t="shared" si="0"/>
        <v>5</v>
      </c>
      <c r="B6" s="165" t="s">
        <v>890</v>
      </c>
    </row>
    <row r="7" spans="1:4" x14ac:dyDescent="0.25">
      <c r="A7" s="163">
        <f t="shared" si="0"/>
        <v>6</v>
      </c>
      <c r="B7" s="165" t="s">
        <v>306</v>
      </c>
    </row>
    <row r="8" spans="1:4" x14ac:dyDescent="0.25">
      <c r="A8" s="163">
        <f t="shared" si="0"/>
        <v>7</v>
      </c>
      <c r="B8" s="165" t="s">
        <v>372</v>
      </c>
    </row>
    <row r="9" spans="1:4" x14ac:dyDescent="0.25">
      <c r="A9" s="163">
        <f t="shared" si="0"/>
        <v>8</v>
      </c>
      <c r="B9" s="165" t="s">
        <v>328</v>
      </c>
    </row>
    <row r="10" spans="1:4" x14ac:dyDescent="0.25">
      <c r="A10" s="163">
        <f t="shared" si="0"/>
        <v>9</v>
      </c>
      <c r="B10" s="165" t="s">
        <v>326</v>
      </c>
    </row>
    <row r="11" spans="1:4" x14ac:dyDescent="0.25">
      <c r="A11" s="163">
        <f t="shared" si="0"/>
        <v>10</v>
      </c>
      <c r="B11" s="165" t="s">
        <v>886</v>
      </c>
    </row>
    <row r="12" spans="1:4" x14ac:dyDescent="0.25">
      <c r="A12" s="163">
        <f t="shared" si="0"/>
        <v>11</v>
      </c>
      <c r="B12" s="165" t="s">
        <v>891</v>
      </c>
    </row>
    <row r="13" spans="1:4" x14ac:dyDescent="0.25">
      <c r="A13" s="163">
        <f t="shared" si="0"/>
        <v>12</v>
      </c>
      <c r="B13" s="165" t="s">
        <v>892</v>
      </c>
    </row>
    <row r="14" spans="1:4" x14ac:dyDescent="0.25">
      <c r="A14" s="163">
        <f t="shared" si="0"/>
        <v>13</v>
      </c>
      <c r="B14" s="165" t="s">
        <v>893</v>
      </c>
    </row>
    <row r="15" spans="1:4" x14ac:dyDescent="0.25">
      <c r="A15" s="163">
        <f t="shared" si="0"/>
        <v>14</v>
      </c>
      <c r="B15" s="165" t="s">
        <v>894</v>
      </c>
    </row>
    <row r="16" spans="1:4" x14ac:dyDescent="0.25">
      <c r="A16" s="163">
        <f t="shared" si="0"/>
        <v>15</v>
      </c>
      <c r="B16" s="165" t="s">
        <v>466</v>
      </c>
    </row>
    <row r="17" spans="1:2" x14ac:dyDescent="0.25">
      <c r="A17" s="163">
        <f t="shared" si="0"/>
        <v>16</v>
      </c>
      <c r="B17" s="165" t="s">
        <v>895</v>
      </c>
    </row>
    <row r="18" spans="1:2" x14ac:dyDescent="0.25">
      <c r="A18" s="163">
        <f t="shared" si="0"/>
        <v>17</v>
      </c>
      <c r="B18" s="165" t="s">
        <v>487</v>
      </c>
    </row>
    <row r="19" spans="1:2" x14ac:dyDescent="0.25">
      <c r="A19" s="163">
        <f t="shared" si="0"/>
        <v>18</v>
      </c>
      <c r="B19" s="165" t="s">
        <v>309</v>
      </c>
    </row>
    <row r="20" spans="1:2" x14ac:dyDescent="0.25">
      <c r="A20" s="163">
        <f t="shared" si="0"/>
        <v>19</v>
      </c>
      <c r="B20" s="165" t="s">
        <v>896</v>
      </c>
    </row>
    <row r="21" spans="1:2" x14ac:dyDescent="0.25">
      <c r="A21" s="163">
        <f t="shared" si="0"/>
        <v>20</v>
      </c>
      <c r="B21" s="165" t="s">
        <v>897</v>
      </c>
    </row>
    <row r="22" spans="1:2" x14ac:dyDescent="0.25">
      <c r="A22" s="163">
        <f t="shared" si="0"/>
        <v>21</v>
      </c>
      <c r="B22" s="165" t="s">
        <v>898</v>
      </c>
    </row>
    <row r="23" spans="1:2" x14ac:dyDescent="0.25">
      <c r="A23" s="163">
        <f t="shared" si="0"/>
        <v>22</v>
      </c>
      <c r="B23" s="165" t="s">
        <v>886</v>
      </c>
    </row>
    <row r="24" spans="1:2" x14ac:dyDescent="0.25">
      <c r="A24" s="163">
        <f t="shared" si="0"/>
        <v>23</v>
      </c>
      <c r="B24" s="165" t="s">
        <v>464</v>
      </c>
    </row>
    <row r="25" spans="1:2" x14ac:dyDescent="0.25">
      <c r="A25" s="163">
        <f t="shared" si="0"/>
        <v>24</v>
      </c>
      <c r="B25" s="165" t="s">
        <v>899</v>
      </c>
    </row>
    <row r="26" spans="1:2" x14ac:dyDescent="0.25">
      <c r="A26" s="163">
        <f t="shared" si="0"/>
        <v>25</v>
      </c>
      <c r="B26" s="165" t="s">
        <v>287</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B1:R23"/>
  <sheetViews>
    <sheetView workbookViewId="0">
      <selection activeCell="F15" sqref="F15"/>
    </sheetView>
  </sheetViews>
  <sheetFormatPr defaultRowHeight="15" x14ac:dyDescent="0.25"/>
  <cols>
    <col min="2" max="2" width="4.7109375" customWidth="1"/>
    <col min="3" max="3" width="25.28515625" customWidth="1"/>
    <col min="5" max="5" width="5.7109375" customWidth="1"/>
    <col min="6" max="6" width="25.5703125" customWidth="1"/>
    <col min="9" max="9" width="26.42578125" customWidth="1"/>
    <col min="11" max="11" width="4.7109375" customWidth="1"/>
    <col min="12" max="12" width="27.28515625" customWidth="1"/>
    <col min="13" max="13" width="4.28515625" customWidth="1"/>
    <col min="14" max="14" width="3.5703125" customWidth="1"/>
    <col min="15" max="15" width="25.7109375" customWidth="1"/>
    <col min="16" max="16" width="4.42578125" customWidth="1"/>
    <col min="17" max="17" width="3.5703125" customWidth="1"/>
    <col min="18" max="18" width="28.28515625" customWidth="1"/>
  </cols>
  <sheetData>
    <row r="1" spans="2:18" x14ac:dyDescent="0.25">
      <c r="B1" s="1" t="s">
        <v>33</v>
      </c>
    </row>
    <row r="2" spans="2:18" x14ac:dyDescent="0.25">
      <c r="B2" s="2"/>
      <c r="C2" s="2"/>
      <c r="D2" s="3" t="s">
        <v>25</v>
      </c>
    </row>
    <row r="3" spans="2:18" x14ac:dyDescent="0.25">
      <c r="B3" s="2">
        <v>1</v>
      </c>
      <c r="C3" s="2" t="s">
        <v>3</v>
      </c>
      <c r="D3" s="2"/>
    </row>
    <row r="4" spans="2:18" x14ac:dyDescent="0.25">
      <c r="B4" s="2">
        <v>2</v>
      </c>
      <c r="C4" s="2" t="s">
        <v>4</v>
      </c>
      <c r="D4" s="2"/>
      <c r="I4" s="5" t="s">
        <v>46</v>
      </c>
    </row>
    <row r="5" spans="2:18" x14ac:dyDescent="0.25">
      <c r="B5" s="2">
        <v>3</v>
      </c>
      <c r="C5" s="2" t="s">
        <v>5</v>
      </c>
      <c r="D5" s="2"/>
    </row>
    <row r="6" spans="2:18" x14ac:dyDescent="0.25">
      <c r="B6" s="2">
        <v>4</v>
      </c>
      <c r="C6" s="2" t="s">
        <v>6</v>
      </c>
      <c r="D6" s="2"/>
    </row>
    <row r="9" spans="2:18" x14ac:dyDescent="0.25">
      <c r="B9" s="1" t="s">
        <v>34</v>
      </c>
    </row>
    <row r="10" spans="2:18" x14ac:dyDescent="0.25">
      <c r="B10" s="4">
        <v>1</v>
      </c>
      <c r="C10" s="4" t="s">
        <v>3</v>
      </c>
      <c r="E10" s="7">
        <v>2</v>
      </c>
      <c r="F10" s="7" t="s">
        <v>4</v>
      </c>
      <c r="H10" s="6">
        <v>3</v>
      </c>
      <c r="I10" s="6" t="s">
        <v>5</v>
      </c>
      <c r="K10" s="5"/>
      <c r="L10" s="6" t="s">
        <v>42</v>
      </c>
      <c r="N10" s="5"/>
      <c r="O10" s="6" t="s">
        <v>43</v>
      </c>
      <c r="Q10" s="5"/>
      <c r="R10" s="6" t="s">
        <v>44</v>
      </c>
    </row>
    <row r="11" spans="2:18" x14ac:dyDescent="0.25">
      <c r="C11" t="s">
        <v>7</v>
      </c>
      <c r="F11" t="s">
        <v>7</v>
      </c>
      <c r="I11" t="s">
        <v>41</v>
      </c>
      <c r="L11" s="2">
        <f>I12</f>
        <v>0</v>
      </c>
      <c r="O11" s="2">
        <f>I13</f>
        <v>0</v>
      </c>
      <c r="R11" s="2">
        <f>I14</f>
        <v>0</v>
      </c>
    </row>
    <row r="12" spans="2:18" x14ac:dyDescent="0.25">
      <c r="B12" s="2">
        <v>1</v>
      </c>
      <c r="C12" s="2" t="s">
        <v>16</v>
      </c>
      <c r="E12" s="2">
        <v>1</v>
      </c>
      <c r="F12" s="2"/>
      <c r="H12" s="2">
        <v>1</v>
      </c>
      <c r="I12" s="2"/>
      <c r="L12" t="s">
        <v>47</v>
      </c>
      <c r="O12" t="s">
        <v>47</v>
      </c>
      <c r="R12" t="s">
        <v>47</v>
      </c>
    </row>
    <row r="13" spans="2:18" x14ac:dyDescent="0.25">
      <c r="B13" s="2">
        <v>2</v>
      </c>
      <c r="C13" s="2" t="s">
        <v>17</v>
      </c>
      <c r="E13" s="2">
        <v>2</v>
      </c>
      <c r="F13" s="2"/>
      <c r="H13" s="2">
        <v>2</v>
      </c>
      <c r="I13" s="2"/>
      <c r="K13" s="2">
        <v>1</v>
      </c>
      <c r="L13" s="2"/>
      <c r="N13" s="2">
        <v>1</v>
      </c>
      <c r="O13" s="2"/>
      <c r="Q13" s="2">
        <v>1</v>
      </c>
      <c r="R13" s="2"/>
    </row>
    <row r="14" spans="2:18" x14ac:dyDescent="0.25">
      <c r="B14" s="2">
        <v>3</v>
      </c>
      <c r="C14" s="2" t="s">
        <v>18</v>
      </c>
      <c r="E14" s="2">
        <v>3</v>
      </c>
      <c r="F14" s="2"/>
      <c r="H14" s="2">
        <v>3</v>
      </c>
      <c r="I14" s="2"/>
      <c r="K14" s="2">
        <v>2</v>
      </c>
      <c r="L14" s="2"/>
      <c r="N14" s="2">
        <v>2</v>
      </c>
      <c r="O14" s="2"/>
      <c r="Q14" s="2">
        <v>2</v>
      </c>
      <c r="R14" s="2"/>
    </row>
    <row r="15" spans="2:18" x14ac:dyDescent="0.25">
      <c r="B15" s="2">
        <v>4</v>
      </c>
      <c r="C15" s="2" t="s">
        <v>19</v>
      </c>
      <c r="E15" s="2">
        <v>4</v>
      </c>
      <c r="F15" s="2"/>
      <c r="K15" s="2">
        <v>3</v>
      </c>
      <c r="L15" s="2"/>
      <c r="N15" s="2">
        <v>3</v>
      </c>
      <c r="O15" s="2"/>
      <c r="Q15" s="2">
        <v>3</v>
      </c>
      <c r="R15" s="2"/>
    </row>
    <row r="16" spans="2:18" x14ac:dyDescent="0.25">
      <c r="B16" s="2">
        <v>5</v>
      </c>
      <c r="C16" s="2"/>
      <c r="E16" s="2">
        <v>5</v>
      </c>
      <c r="F16" s="2"/>
      <c r="K16" s="2">
        <v>4</v>
      </c>
      <c r="L16" s="2"/>
      <c r="N16" s="2">
        <v>4</v>
      </c>
      <c r="O16" s="2"/>
      <c r="Q16" s="2">
        <v>4</v>
      </c>
      <c r="R16" s="2"/>
    </row>
    <row r="17" spans="2:18" x14ac:dyDescent="0.25">
      <c r="K17" s="2">
        <v>5</v>
      </c>
      <c r="L17" s="2"/>
      <c r="N17" s="2">
        <v>5</v>
      </c>
      <c r="O17" s="2"/>
      <c r="Q17" s="2">
        <v>5</v>
      </c>
      <c r="R17" s="2"/>
    </row>
    <row r="18" spans="2:18" x14ac:dyDescent="0.25">
      <c r="B18" s="1"/>
      <c r="C18" t="s">
        <v>2</v>
      </c>
      <c r="E18" s="1"/>
      <c r="F18" t="s">
        <v>2</v>
      </c>
    </row>
    <row r="19" spans="2:18" x14ac:dyDescent="0.25">
      <c r="B19" s="2">
        <v>1</v>
      </c>
      <c r="C19" s="2" t="s">
        <v>20</v>
      </c>
      <c r="E19" s="2">
        <v>1</v>
      </c>
      <c r="F19" s="2"/>
      <c r="L19" t="s">
        <v>49</v>
      </c>
      <c r="O19" t="s">
        <v>49</v>
      </c>
      <c r="R19" t="s">
        <v>49</v>
      </c>
    </row>
    <row r="20" spans="2:18" x14ac:dyDescent="0.25">
      <c r="B20" s="2">
        <v>2</v>
      </c>
      <c r="C20" s="2" t="s">
        <v>21</v>
      </c>
      <c r="E20" s="2">
        <v>2</v>
      </c>
      <c r="F20" s="2"/>
      <c r="K20" s="2">
        <v>1</v>
      </c>
      <c r="L20" s="8" t="s">
        <v>48</v>
      </c>
      <c r="N20" s="2">
        <v>1</v>
      </c>
      <c r="O20" s="8" t="s">
        <v>48</v>
      </c>
      <c r="Q20" s="2">
        <v>1</v>
      </c>
      <c r="R20" s="8" t="s">
        <v>48</v>
      </c>
    </row>
    <row r="21" spans="2:18" x14ac:dyDescent="0.25">
      <c r="B21" s="2">
        <v>3</v>
      </c>
      <c r="C21" s="2" t="s">
        <v>22</v>
      </c>
      <c r="E21" s="2">
        <v>3</v>
      </c>
      <c r="F21" s="2"/>
    </row>
    <row r="22" spans="2:18" x14ac:dyDescent="0.25">
      <c r="B22" s="2">
        <v>4</v>
      </c>
      <c r="C22" s="2" t="s">
        <v>23</v>
      </c>
      <c r="E22" s="2">
        <v>4</v>
      </c>
      <c r="F22" s="2"/>
    </row>
    <row r="23" spans="2:18" x14ac:dyDescent="0.25">
      <c r="B23" s="2">
        <v>5</v>
      </c>
      <c r="C23" s="2"/>
      <c r="E23" s="2">
        <v>5</v>
      </c>
      <c r="F23" s="2"/>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C139"/>
  <sheetViews>
    <sheetView topLeftCell="A16" zoomScale="60" zoomScaleNormal="60" workbookViewId="0">
      <selection activeCell="D26" sqref="D26"/>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0" customWidth="1"/>
    <col min="17" max="17" width="18.85546875" customWidth="1"/>
    <col min="18" max="18" width="20.140625" customWidth="1"/>
    <col min="19" max="19" width="22.85546875" customWidth="1"/>
    <col min="20" max="20" width="27" customWidth="1"/>
    <col min="21" max="22" width="5.7109375" customWidth="1"/>
    <col min="23" max="23" width="3.28515625" customWidth="1"/>
    <col min="24" max="24" width="0.85546875" style="270" hidden="1" customWidth="1"/>
    <col min="25" max="25" width="25.85546875" style="270" hidden="1" customWidth="1"/>
    <col min="26" max="26" width="28.140625" style="270" hidden="1" customWidth="1"/>
    <col min="27" max="27" width="13.42578125" style="270" hidden="1" customWidth="1"/>
    <col min="28" max="28" width="15.5703125" style="270" hidden="1" customWidth="1"/>
    <col min="29" max="29" width="14.1406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99</v>
      </c>
      <c r="D2" s="12"/>
      <c r="E2" s="12"/>
      <c r="F2" s="12"/>
      <c r="G2" s="12"/>
      <c r="H2" s="12"/>
      <c r="I2" s="12"/>
      <c r="J2" s="12"/>
      <c r="K2" s="12"/>
      <c r="L2" s="12"/>
      <c r="M2" s="12"/>
      <c r="N2" s="12"/>
      <c r="O2" s="12"/>
      <c r="P2" s="12"/>
      <c r="Q2" s="12"/>
      <c r="R2" s="12"/>
      <c r="S2" s="12"/>
      <c r="T2" s="12"/>
      <c r="U2" s="12"/>
      <c r="V2" s="12"/>
    </row>
    <row r="3" spans="1:29" ht="64.5" customHeight="1" x14ac:dyDescent="0.25">
      <c r="A3" s="12"/>
      <c r="B3" s="12"/>
      <c r="C3" s="341" t="s">
        <v>1233</v>
      </c>
      <c r="D3" s="341"/>
      <c r="E3" s="341"/>
      <c r="F3" s="341"/>
      <c r="G3" s="341"/>
      <c r="H3" s="341"/>
      <c r="I3" s="341"/>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42" t="s">
        <v>54</v>
      </c>
      <c r="D5" s="342"/>
      <c r="E5" s="345" t="s">
        <v>1171</v>
      </c>
      <c r="F5" s="345"/>
      <c r="G5" s="43"/>
      <c r="H5" s="343"/>
      <c r="I5" s="343"/>
      <c r="J5" s="343"/>
      <c r="K5" s="343"/>
      <c r="L5" s="343"/>
      <c r="M5" s="343"/>
      <c r="N5" s="343"/>
      <c r="O5" s="343"/>
      <c r="P5" s="343"/>
      <c r="Q5" s="43"/>
      <c r="R5" s="43"/>
      <c r="S5" s="43"/>
      <c r="T5" s="43"/>
      <c r="U5" s="43"/>
      <c r="V5" s="43"/>
      <c r="X5" s="280" t="s">
        <v>95</v>
      </c>
      <c r="Y5" s="271"/>
      <c r="Z5" s="271"/>
      <c r="AA5" s="271"/>
      <c r="AB5" s="271"/>
      <c r="AC5" s="271"/>
    </row>
    <row r="6" spans="1:29" s="37" customFormat="1" ht="19.899999999999999" customHeight="1" x14ac:dyDescent="0.25">
      <c r="A6" s="43"/>
      <c r="B6" s="43"/>
      <c r="C6" s="344" t="s">
        <v>11</v>
      </c>
      <c r="D6" s="344"/>
      <c r="E6" s="346">
        <f>SUM(X9:AC9)</f>
        <v>3157429.4045787812</v>
      </c>
      <c r="F6" s="346"/>
      <c r="G6" s="43"/>
      <c r="H6" s="343"/>
      <c r="I6" s="343"/>
      <c r="J6" s="343"/>
      <c r="K6" s="343"/>
      <c r="L6" s="343"/>
      <c r="M6" s="343"/>
      <c r="N6" s="343"/>
      <c r="O6" s="343"/>
      <c r="P6" s="343"/>
      <c r="Q6" s="43"/>
      <c r="R6" s="43"/>
      <c r="S6" s="43"/>
      <c r="T6" s="43"/>
      <c r="U6" s="43"/>
      <c r="V6" s="43"/>
      <c r="X6" s="273"/>
      <c r="Y6" s="273" t="s">
        <v>1234</v>
      </c>
      <c r="Z6" s="273"/>
      <c r="AA6" s="273"/>
      <c r="AB6" s="273"/>
      <c r="AC6" s="273"/>
    </row>
    <row r="7" spans="1:29" s="37" customFormat="1" ht="19.899999999999999" customHeight="1" x14ac:dyDescent="0.25">
      <c r="A7" s="43"/>
      <c r="B7" s="43"/>
      <c r="C7" s="344" t="s">
        <v>12</v>
      </c>
      <c r="D7" s="344"/>
      <c r="E7" s="346">
        <f>SUM(X10:AC10)</f>
        <v>0</v>
      </c>
      <c r="F7" s="346"/>
      <c r="G7" s="43"/>
      <c r="H7" s="343"/>
      <c r="I7" s="343"/>
      <c r="J7" s="343"/>
      <c r="K7" s="343"/>
      <c r="L7" s="343"/>
      <c r="M7" s="343"/>
      <c r="N7" s="343"/>
      <c r="O7" s="343"/>
      <c r="P7" s="343"/>
      <c r="Q7" s="43"/>
      <c r="R7" s="43"/>
      <c r="S7" s="43"/>
      <c r="T7" s="43"/>
      <c r="U7" s="43"/>
      <c r="V7" s="43"/>
      <c r="X7" s="273"/>
      <c r="Y7" s="273" t="s">
        <v>2</v>
      </c>
      <c r="Z7" s="273"/>
      <c r="AA7" s="273"/>
      <c r="AB7" s="273"/>
      <c r="AC7" s="273"/>
    </row>
    <row r="8" spans="1:29" s="37" customFormat="1" ht="19.899999999999999" customHeight="1" x14ac:dyDescent="0.25">
      <c r="A8" s="43"/>
      <c r="B8" s="43"/>
      <c r="C8" s="342" t="s">
        <v>10</v>
      </c>
      <c r="D8" s="342"/>
      <c r="E8" s="347">
        <f>SUM(E6:E7)</f>
        <v>3157429.4045787812</v>
      </c>
      <c r="F8" s="347"/>
      <c r="G8" s="43"/>
      <c r="H8" s="343"/>
      <c r="I8" s="343"/>
      <c r="J8" s="343"/>
      <c r="K8" s="343"/>
      <c r="L8" s="343"/>
      <c r="M8" s="343"/>
      <c r="N8" s="343"/>
      <c r="O8" s="343"/>
      <c r="P8" s="343"/>
      <c r="Q8" s="43"/>
      <c r="R8" s="43"/>
      <c r="S8" s="43"/>
      <c r="T8" s="43"/>
      <c r="U8" s="43"/>
      <c r="V8" s="43"/>
      <c r="X8" s="279" t="s">
        <v>1221</v>
      </c>
      <c r="Y8" s="279" t="s">
        <v>1223</v>
      </c>
      <c r="Z8" s="279" t="s">
        <v>1224</v>
      </c>
      <c r="AA8" s="279" t="s">
        <v>1225</v>
      </c>
      <c r="AB8" s="279" t="s">
        <v>1226</v>
      </c>
      <c r="AC8" s="279" t="s">
        <v>1227</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405893.27877321228</v>
      </c>
      <c r="Y9" s="277">
        <f t="shared" si="0"/>
        <v>459536.13449588005</v>
      </c>
      <c r="Z9" s="277">
        <f t="shared" si="0"/>
        <v>506505.32280270389</v>
      </c>
      <c r="AA9" s="277">
        <f t="shared" si="0"/>
        <v>548469.28879690787</v>
      </c>
      <c r="AB9" s="277">
        <f t="shared" si="0"/>
        <v>593909.96937373187</v>
      </c>
      <c r="AC9" s="277">
        <f t="shared" si="0"/>
        <v>643115.41033634555</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100</v>
      </c>
      <c r="D11" s="36"/>
      <c r="E11" s="36"/>
      <c r="F11" s="36"/>
      <c r="G11" s="36"/>
      <c r="H11" s="36"/>
      <c r="I11" s="36"/>
      <c r="J11" s="36"/>
      <c r="K11" s="36"/>
      <c r="L11" s="36"/>
      <c r="M11" s="36"/>
      <c r="N11" s="36"/>
      <c r="O11" s="36"/>
      <c r="P11" s="36"/>
      <c r="Q11" s="36"/>
      <c r="R11" s="43"/>
      <c r="S11" s="43"/>
      <c r="T11" s="43"/>
      <c r="U11" s="43"/>
      <c r="V11" s="43"/>
      <c r="X11" s="278">
        <f t="shared" ref="X11:AC11" si="2">SUM(X9:X10)</f>
        <v>405893.27877321228</v>
      </c>
      <c r="Y11" s="278">
        <f t="shared" si="2"/>
        <v>459536.13449588005</v>
      </c>
      <c r="Z11" s="278">
        <f t="shared" si="2"/>
        <v>506505.32280270389</v>
      </c>
      <c r="AA11" s="278">
        <f t="shared" si="2"/>
        <v>548469.28879690787</v>
      </c>
      <c r="AB11" s="278">
        <f t="shared" si="2"/>
        <v>593909.96937373187</v>
      </c>
      <c r="AC11" s="278">
        <f t="shared" si="2"/>
        <v>643115.41033634555</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87" customHeight="1" x14ac:dyDescent="0.25">
      <c r="A13" s="43"/>
      <c r="B13" s="43"/>
      <c r="C13" s="125" t="s">
        <v>62</v>
      </c>
      <c r="D13" s="125" t="s">
        <v>55</v>
      </c>
      <c r="E13" s="125" t="s">
        <v>13</v>
      </c>
      <c r="F13" s="125" t="s">
        <v>8</v>
      </c>
      <c r="G13" s="326" t="s">
        <v>1299</v>
      </c>
      <c r="H13" s="326"/>
      <c r="I13" s="328" t="s">
        <v>15</v>
      </c>
      <c r="J13" s="328"/>
      <c r="K13" s="328"/>
      <c r="L13" s="328"/>
      <c r="M13" s="328"/>
      <c r="N13" s="36"/>
      <c r="O13" s="36"/>
      <c r="P13" s="36"/>
      <c r="Q13" s="43"/>
      <c r="R13" s="43"/>
      <c r="S13" s="43"/>
      <c r="T13" s="43"/>
      <c r="U13" s="43"/>
      <c r="V13" s="43"/>
      <c r="X13" s="280" t="s">
        <v>1228</v>
      </c>
      <c r="Y13" s="271"/>
      <c r="Z13" s="271"/>
      <c r="AA13" s="271"/>
      <c r="AB13" s="271"/>
      <c r="AC13" s="271"/>
    </row>
    <row r="14" spans="1:29" s="226" customFormat="1" ht="47.25" x14ac:dyDescent="0.25">
      <c r="A14" s="224"/>
      <c r="B14" s="224"/>
      <c r="C14" s="225">
        <f>IF(LEN(D14)&gt;0,1,"")</f>
        <v>1</v>
      </c>
      <c r="D14" s="31" t="s">
        <v>1315</v>
      </c>
      <c r="E14" s="227">
        <v>22</v>
      </c>
      <c r="F14" s="97" t="s">
        <v>57</v>
      </c>
      <c r="G14" s="329" t="s">
        <v>1312</v>
      </c>
      <c r="H14" s="330"/>
      <c r="I14" s="331" t="s">
        <v>1318</v>
      </c>
      <c r="J14" s="332"/>
      <c r="K14" s="332"/>
      <c r="L14" s="332"/>
      <c r="M14" s="333"/>
      <c r="N14" s="36"/>
      <c r="O14" s="36"/>
      <c r="P14" s="36"/>
      <c r="Q14" s="224"/>
      <c r="R14" s="224"/>
      <c r="S14" s="224"/>
      <c r="T14" s="224"/>
      <c r="U14" s="224"/>
      <c r="V14" s="224"/>
      <c r="X14" s="271"/>
      <c r="Y14" s="271" t="s">
        <v>1229</v>
      </c>
      <c r="Z14" s="271"/>
      <c r="AA14" s="271"/>
      <c r="AB14" s="271"/>
      <c r="AC14" s="271"/>
    </row>
    <row r="15" spans="1:29" s="226" customFormat="1" ht="15.75" x14ac:dyDescent="0.25">
      <c r="A15" s="224"/>
      <c r="B15" s="224"/>
      <c r="C15" s="225" t="str">
        <f>IF(LEN(D15)&gt;0,C14+1,"")</f>
        <v/>
      </c>
      <c r="D15" s="31"/>
      <c r="E15" s="227"/>
      <c r="F15" s="97" t="s">
        <v>57</v>
      </c>
      <c r="G15" s="330"/>
      <c r="H15" s="330"/>
      <c r="I15" s="334"/>
      <c r="J15" s="335"/>
      <c r="K15" s="335"/>
      <c r="L15" s="335"/>
      <c r="M15" s="336"/>
      <c r="N15" s="36"/>
      <c r="O15" s="36"/>
      <c r="P15" s="36"/>
      <c r="Q15" s="224"/>
      <c r="R15" s="224"/>
      <c r="S15" s="224"/>
      <c r="T15" s="224"/>
      <c r="U15" s="224"/>
      <c r="V15" s="224"/>
      <c r="X15" s="271"/>
      <c r="Y15" s="271" t="s">
        <v>1230</v>
      </c>
      <c r="Z15" s="271"/>
      <c r="AA15" s="271"/>
      <c r="AB15" s="271"/>
      <c r="AC15" s="271"/>
    </row>
    <row r="16" spans="1:29" s="37" customFormat="1" ht="63" x14ac:dyDescent="0.25">
      <c r="A16" s="43"/>
      <c r="B16" s="43"/>
      <c r="C16" s="222" t="str">
        <f>IF(LEN(D16)&gt;0,C15+1,"")</f>
        <v/>
      </c>
      <c r="D16" s="31"/>
      <c r="E16" s="227"/>
      <c r="F16" s="97" t="s">
        <v>57</v>
      </c>
      <c r="G16" s="340"/>
      <c r="H16" s="340"/>
      <c r="I16" s="334"/>
      <c r="J16" s="335"/>
      <c r="K16" s="335"/>
      <c r="L16" s="335"/>
      <c r="M16" s="336"/>
      <c r="N16" s="36"/>
      <c r="O16" s="36"/>
      <c r="P16" s="36"/>
      <c r="Q16" s="43"/>
      <c r="R16" s="43"/>
      <c r="S16" s="43"/>
      <c r="T16" s="43"/>
      <c r="U16" s="43"/>
      <c r="V16" s="43"/>
      <c r="X16" s="279" t="s">
        <v>1221</v>
      </c>
      <c r="Y16" s="279" t="s">
        <v>1223</v>
      </c>
      <c r="Z16" s="279" t="s">
        <v>1224</v>
      </c>
      <c r="AA16" s="279" t="s">
        <v>1225</v>
      </c>
      <c r="AB16" s="279" t="s">
        <v>1226</v>
      </c>
      <c r="AC16" s="279" t="s">
        <v>1227</v>
      </c>
    </row>
    <row r="17" spans="1:29" s="37" customFormat="1" ht="15.75" x14ac:dyDescent="0.25">
      <c r="A17" s="43"/>
      <c r="B17" s="43"/>
      <c r="C17" s="222" t="str">
        <f>IF(LEN(D17)&gt;0,C16+1,"")</f>
        <v/>
      </c>
      <c r="D17" s="31"/>
      <c r="E17" s="229"/>
      <c r="F17" s="97" t="s">
        <v>57</v>
      </c>
      <c r="G17" s="340"/>
      <c r="H17" s="340"/>
      <c r="I17" s="334"/>
      <c r="J17" s="335"/>
      <c r="K17" s="335"/>
      <c r="L17" s="335"/>
      <c r="M17" s="336"/>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40"/>
      <c r="H18" s="340"/>
      <c r="I18" s="337"/>
      <c r="J18" s="338"/>
      <c r="K18" s="338"/>
      <c r="L18" s="338"/>
      <c r="M18" s="339"/>
      <c r="N18" s="36"/>
      <c r="O18" s="36"/>
      <c r="P18" s="36"/>
      <c r="Q18" s="43"/>
      <c r="R18" s="43"/>
      <c r="S18" s="43"/>
      <c r="T18" s="43"/>
      <c r="U18" s="43"/>
      <c r="V18" s="43"/>
      <c r="X18" s="271">
        <v>1</v>
      </c>
      <c r="Y18" s="271">
        <f>IF(Y$17=0,0,(1+'Шаг 1. Основные исходные данные'!$E$12/100))</f>
        <v>1.04457</v>
      </c>
      <c r="Z18" s="271">
        <f>IF(Z$17=0,0,Y18*(1+'Шаг 1. Основные исходные данные'!$E$13/100))</f>
        <v>1.0866243882</v>
      </c>
      <c r="AA18" s="271">
        <f>IF(AA$17=0,0,Z18*(1+'Шаг 1. Основные исходные данные'!$E$14/100))</f>
        <v>1.1305022809955161</v>
      </c>
      <c r="AB18" s="271">
        <f>IF(AB$17=0,0,AA18*(1+'Шаг 1. Основные исходные данные'!$E$15/100))</f>
        <v>1.1761519631021151</v>
      </c>
      <c r="AC18" s="271">
        <f>IF(AC$17=0,0,AB18*(1+'Шаг 1. Основные исходные данные'!$E$16/100))</f>
        <v>1.2236449793721786</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1.1321600000000001</v>
      </c>
      <c r="Z19" s="271">
        <f>IF(Z$17=0,0,Y19*(1+'Шаг 1. Основные исходные данные'!$E$18/100))</f>
        <v>1.2478780735999999</v>
      </c>
      <c r="AA19" s="271">
        <f>IF(AA$17=0,0,Z19*(1+'Шаг 1. Основные исходные данные'!$E$19/100))</f>
        <v>1.35126477199776</v>
      </c>
      <c r="AB19" s="271">
        <f>IF(AB$17=0,0,AA19*(1+'Шаг 1. Основные исходные данные'!$E$20/100))</f>
        <v>1.4632170583577746</v>
      </c>
      <c r="AC19" s="271">
        <f>IF(AC$17=0,0,AB19*(1+'Шаг 1. Основные исходные данные'!$E$21/100))</f>
        <v>1.5844445916427163</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43"/>
      <c r="X20" s="272"/>
      <c r="Y20" s="272"/>
      <c r="Z20" s="272"/>
      <c r="AA20" s="272"/>
      <c r="AB20" s="272"/>
      <c r="AC20" s="272"/>
    </row>
    <row r="21" spans="1:29" s="37" customFormat="1" ht="15.75" x14ac:dyDescent="0.25">
      <c r="A21" s="43"/>
      <c r="B21" s="48"/>
      <c r="C21" s="36" t="str">
        <f>CONCATENATE("2.2.",$C$14,". Информационные издержки группы объектов ",$C$14," - """,$D$14,"""")</f>
        <v>2.2.1. Информационные издержки группы объектов 1 - "Организаторы проведения азартных игр в букмекерских конторах или тотализаторах"</v>
      </c>
      <c r="D21" s="43"/>
      <c r="E21" s="43"/>
      <c r="F21" s="43"/>
      <c r="G21" s="43"/>
      <c r="H21" s="43"/>
      <c r="I21" s="43"/>
      <c r="J21" s="43"/>
      <c r="K21" s="43"/>
      <c r="L21" s="43"/>
      <c r="M21" s="43"/>
      <c r="N21" s="43"/>
      <c r="O21" s="43"/>
      <c r="P21" s="43"/>
      <c r="Q21" s="43"/>
      <c r="R21" s="43"/>
      <c r="S21" s="43"/>
      <c r="T21" s="43"/>
      <c r="U21" s="49"/>
      <c r="V21" s="43"/>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43"/>
      <c r="T22" s="43"/>
      <c r="U22" s="49"/>
      <c r="V22" s="43"/>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43"/>
      <c r="T23" s="43"/>
      <c r="U23" s="49"/>
      <c r="V23" s="43"/>
      <c r="X23" s="272"/>
      <c r="Y23" s="272"/>
      <c r="Z23" s="272"/>
      <c r="AA23" s="272"/>
      <c r="AB23" s="272"/>
      <c r="AC23" s="272"/>
    </row>
    <row r="24" spans="1:29" s="52" customFormat="1" ht="134.25" customHeight="1" x14ac:dyDescent="0.25">
      <c r="A24" s="23"/>
      <c r="B24" s="50"/>
      <c r="C24" s="326" t="s">
        <v>62</v>
      </c>
      <c r="D24" s="326" t="s">
        <v>64</v>
      </c>
      <c r="E24" s="326" t="s">
        <v>75</v>
      </c>
      <c r="F24" s="326" t="s">
        <v>1231</v>
      </c>
      <c r="G24" s="326"/>
      <c r="H24" s="326"/>
      <c r="I24" s="326"/>
      <c r="J24" s="326"/>
      <c r="K24" s="326"/>
      <c r="L24" s="326" t="s">
        <v>1300</v>
      </c>
      <c r="M24" s="326" t="s">
        <v>1222</v>
      </c>
      <c r="N24" s="125" t="s">
        <v>1309</v>
      </c>
      <c r="O24" s="125" t="s">
        <v>79</v>
      </c>
      <c r="P24" s="125" t="s">
        <v>1159</v>
      </c>
      <c r="Q24" s="43"/>
      <c r="R24" s="43"/>
      <c r="S24" s="23"/>
      <c r="T24" s="23"/>
      <c r="U24" s="51"/>
      <c r="V24" s="23"/>
      <c r="X24" s="272"/>
      <c r="Y24" s="272"/>
      <c r="Z24" s="272"/>
      <c r="AA24" s="272"/>
      <c r="AB24" s="272"/>
      <c r="AC24" s="272"/>
    </row>
    <row r="25" spans="1:29" s="52" customFormat="1" ht="63" x14ac:dyDescent="0.25">
      <c r="A25" s="23"/>
      <c r="B25" s="50"/>
      <c r="C25" s="326"/>
      <c r="D25" s="327"/>
      <c r="E25" s="327"/>
      <c r="F25" s="125" t="str">
        <f>IF(1&lt;='Шаг 1. Основные исходные данные'!$E$5,"1 год","-")</f>
        <v>1 год</v>
      </c>
      <c r="G25" s="125" t="str">
        <f>IF(2&lt;='Шаг 1. Основные исходные данные'!$E$5,"2 год","-")</f>
        <v>2 год</v>
      </c>
      <c r="H25" s="125" t="str">
        <f>IF(3&lt;='Шаг 1. Основные исходные данные'!$E$5,"3 год","-")</f>
        <v>3 год</v>
      </c>
      <c r="I25" s="125" t="str">
        <f>IF(4&lt;='Шаг 1. Основные исходные данные'!$E$5,"4 год","-")</f>
        <v>4 год</v>
      </c>
      <c r="J25" s="125" t="str">
        <f>IF(5&lt;='Шаг 1. Основные исходные данные'!$E$5,"5 год","-")</f>
        <v>5 год</v>
      </c>
      <c r="K25" s="125" t="str">
        <f>IF(6&lt;='Шаг 1. Основные исходные данные'!$E$5,"6 год","-")</f>
        <v>6 год</v>
      </c>
      <c r="L25" s="327"/>
      <c r="M25" s="327"/>
      <c r="N25" s="125"/>
      <c r="O25" s="125"/>
      <c r="P25" s="125"/>
      <c r="Q25" s="43"/>
      <c r="R25" s="43"/>
      <c r="S25" s="23"/>
      <c r="T25" s="23"/>
      <c r="U25" s="51"/>
      <c r="V25" s="23"/>
      <c r="X25" s="279" t="s">
        <v>1221</v>
      </c>
      <c r="Y25" s="279" t="s">
        <v>1223</v>
      </c>
      <c r="Z25" s="279" t="s">
        <v>1224</v>
      </c>
      <c r="AA25" s="279" t="s">
        <v>1225</v>
      </c>
      <c r="AB25" s="279" t="s">
        <v>1226</v>
      </c>
      <c r="AC25" s="279" t="s">
        <v>1227</v>
      </c>
    </row>
    <row r="26" spans="1:29" s="37" customFormat="1" ht="409.6" customHeight="1" x14ac:dyDescent="0.25">
      <c r="A26" s="43"/>
      <c r="B26" s="48"/>
      <c r="C26" s="89">
        <f>IF(LEN(D26)&gt;0,1,"")</f>
        <v>1</v>
      </c>
      <c r="D26" s="31" t="s">
        <v>1319</v>
      </c>
      <c r="E26" s="96" t="s">
        <v>78</v>
      </c>
      <c r="F26" s="96">
        <v>1</v>
      </c>
      <c r="G26" s="96">
        <v>1</v>
      </c>
      <c r="H26" s="96">
        <v>1</v>
      </c>
      <c r="I26" s="96">
        <v>1</v>
      </c>
      <c r="J26" s="96">
        <v>1</v>
      </c>
      <c r="K26" s="96">
        <v>1</v>
      </c>
      <c r="L26" s="31" t="s">
        <v>1317</v>
      </c>
      <c r="M26" s="96">
        <v>12</v>
      </c>
      <c r="N26" s="31" t="s">
        <v>1314</v>
      </c>
      <c r="O26" s="97">
        <f>'Шаг 1. Основные исходные данные'!$E$8</f>
        <v>194447.62497669365</v>
      </c>
      <c r="P26" s="97">
        <f>SUM(X26:AC26)</f>
        <v>3157429.4045787812</v>
      </c>
      <c r="Q26" s="43"/>
      <c r="R26" s="43"/>
      <c r="S26" s="43"/>
      <c r="T26" s="43"/>
      <c r="U26" s="49"/>
      <c r="V26" s="43"/>
      <c r="W26" s="281"/>
      <c r="X26" s="282">
        <f>$O26*'Шаг 1. Основные исходные данные'!$E$11*(12/'Шаг 1. Основные исходные данные'!$E$10/8)*F26*$M26*$E$14*X$19</f>
        <v>405893.27877321228</v>
      </c>
      <c r="Y26" s="282">
        <f>IF($E26=Dict!$F$2,0,
$O26*'Шаг 1. Основные исходные данные'!$E$11*(12/'Шаг 1. Основные исходные данные'!$E$10/8)*G26*$M26*$E$14*Y$19)</f>
        <v>459536.13449588005</v>
      </c>
      <c r="Z26" s="277">
        <f>IF($E26=Dict!$F$2,0,
$O26*'Шаг 1. Основные исходные данные'!$E$11*(12/'Шаг 1. Основные исходные данные'!$E$10/8)*H26*$M26*$E$14*Z$19)</f>
        <v>506505.32280270389</v>
      </c>
      <c r="AA26" s="277">
        <f>IF($E26=Dict!$F$2,0,
$O26*'Шаг 1. Основные исходные данные'!$E$11*(12/'Шаг 1. Основные исходные данные'!$E$10/8)*I26*$M26*$E$14*AA$19)</f>
        <v>548469.28879690787</v>
      </c>
      <c r="AB26" s="277">
        <f>IF($E26=Dict!$F$2,0,
$O26*'Шаг 1. Основные исходные данные'!$E$11*(12/'Шаг 1. Основные исходные данные'!$E$10/8)*J26*$M26*$E$14*AB$19)</f>
        <v>593909.96937373187</v>
      </c>
      <c r="AC26" s="277">
        <f>IF($E26=Dict!$F$2,0,
$O26*'Шаг 1. Основные исходные данные'!$E$11*(12/'Шаг 1. Основные исходные данные'!$E$10/8)*K26*$M26*$E$14*AC$19)</f>
        <v>643115.41033634555</v>
      </c>
    </row>
    <row r="27" spans="1:29" s="37" customFormat="1" ht="15.75" x14ac:dyDescent="0.25">
      <c r="A27" s="43"/>
      <c r="B27" s="48"/>
      <c r="C27" s="89" t="str">
        <f>IF(LEN(D27)&gt;0,C26+1,"")</f>
        <v/>
      </c>
      <c r="D27" s="31"/>
      <c r="E27" s="96"/>
      <c r="F27" s="96"/>
      <c r="G27" s="96"/>
      <c r="H27" s="96"/>
      <c r="I27" s="96"/>
      <c r="J27" s="96"/>
      <c r="K27" s="96"/>
      <c r="L27" s="96"/>
      <c r="M27" s="96"/>
      <c r="N27" s="96"/>
      <c r="O27" s="97">
        <f>'Шаг 1. Основные исходные данные'!$E$8</f>
        <v>194447.62497669365</v>
      </c>
      <c r="P27" s="97">
        <f>SUM(X27:AC27)</f>
        <v>0</v>
      </c>
      <c r="Q27" s="43"/>
      <c r="R27" s="43"/>
      <c r="S27" s="43"/>
      <c r="T27" s="43"/>
      <c r="U27" s="49"/>
      <c r="V27" s="43"/>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15.75" x14ac:dyDescent="0.25">
      <c r="A28" s="43"/>
      <c r="B28" s="48"/>
      <c r="C28" s="89" t="str">
        <f>IF(LEN(D28)&gt;0,C27+1,"")</f>
        <v/>
      </c>
      <c r="D28" s="31"/>
      <c r="E28" s="96"/>
      <c r="F28" s="96"/>
      <c r="G28" s="96"/>
      <c r="H28" s="96"/>
      <c r="I28" s="96"/>
      <c r="J28" s="96"/>
      <c r="K28" s="96"/>
      <c r="L28" s="96"/>
      <c r="M28" s="96"/>
      <c r="N28" s="96"/>
      <c r="O28" s="97">
        <f>'Шаг 1. Основные исходные данные'!$E$8</f>
        <v>194447.62497669365</v>
      </c>
      <c r="P28" s="97">
        <f>SUM(X28:AC28)</f>
        <v>0</v>
      </c>
      <c r="Q28" s="43"/>
      <c r="R28" s="43"/>
      <c r="S28" s="43"/>
      <c r="T28" s="43"/>
      <c r="U28" s="49"/>
      <c r="V28" s="43"/>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194447.62497669365</v>
      </c>
      <c r="P29" s="97">
        <f>SUM(X29:AC29)</f>
        <v>0</v>
      </c>
      <c r="Q29" s="43"/>
      <c r="R29" s="43"/>
      <c r="S29" s="43"/>
      <c r="T29" s="43"/>
      <c r="U29" s="49"/>
      <c r="V29" s="43"/>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194447.62497669365</v>
      </c>
      <c r="P30" s="97">
        <f>SUM(X30:AC30)</f>
        <v>0</v>
      </c>
      <c r="Q30" s="43"/>
      <c r="R30" s="43"/>
      <c r="S30" s="43"/>
      <c r="T30" s="43"/>
      <c r="U30" s="49"/>
      <c r="V30" s="43"/>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3157429.4045787812</v>
      </c>
      <c r="Q31" s="43"/>
      <c r="R31" s="43"/>
      <c r="S31" s="90"/>
      <c r="T31" s="90"/>
      <c r="U31" s="93"/>
      <c r="V31" s="90"/>
      <c r="X31" s="278">
        <f t="shared" ref="X31:AC31" si="3">SUM(X26:X30)</f>
        <v>405893.27877321228</v>
      </c>
      <c r="Y31" s="278">
        <f t="shared" si="3"/>
        <v>459536.13449588005</v>
      </c>
      <c r="Z31" s="278">
        <f t="shared" si="3"/>
        <v>506505.32280270389</v>
      </c>
      <c r="AA31" s="278">
        <f t="shared" si="3"/>
        <v>548469.28879690787</v>
      </c>
      <c r="AB31" s="278">
        <f t="shared" si="3"/>
        <v>593909.96937373187</v>
      </c>
      <c r="AC31" s="278">
        <f t="shared" si="3"/>
        <v>643115.41033634555</v>
      </c>
    </row>
    <row r="32" spans="1:29" s="37" customFormat="1" ht="15.75" x14ac:dyDescent="0.25">
      <c r="A32" s="43"/>
      <c r="B32" s="48"/>
      <c r="C32" s="43"/>
      <c r="D32" s="43"/>
      <c r="E32" s="43"/>
      <c r="F32" s="43"/>
      <c r="G32" s="43"/>
      <c r="H32" s="43"/>
      <c r="I32" s="43"/>
      <c r="J32" s="43"/>
      <c r="K32" s="43"/>
      <c r="L32" s="43"/>
      <c r="M32" s="43"/>
      <c r="N32" s="43"/>
      <c r="O32" s="43"/>
      <c r="P32" s="43"/>
      <c r="Q32" s="43"/>
      <c r="R32" s="43"/>
      <c r="S32" s="43"/>
      <c r="T32" s="43"/>
      <c r="U32" s="49"/>
      <c r="V32" s="43"/>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43"/>
      <c r="T33" s="43"/>
      <c r="U33" s="49"/>
      <c r="V33" s="43"/>
      <c r="X33" s="271"/>
      <c r="Y33" s="271"/>
      <c r="Z33" s="271"/>
      <c r="AA33" s="271"/>
      <c r="AB33" s="271"/>
      <c r="AC33" s="271"/>
    </row>
    <row r="34" spans="1:29" s="37" customFormat="1" ht="126" x14ac:dyDescent="0.25">
      <c r="A34" s="43"/>
      <c r="B34" s="48"/>
      <c r="C34" s="125" t="s">
        <v>62</v>
      </c>
      <c r="D34" s="125" t="s">
        <v>74</v>
      </c>
      <c r="E34" s="125" t="s">
        <v>1160</v>
      </c>
      <c r="F34" s="125" t="s">
        <v>1168</v>
      </c>
      <c r="G34" s="125" t="s">
        <v>1167</v>
      </c>
      <c r="H34" s="326" t="s">
        <v>1232</v>
      </c>
      <c r="I34" s="326"/>
      <c r="J34" s="326"/>
      <c r="K34" s="326"/>
      <c r="L34" s="326"/>
      <c r="M34" s="326"/>
      <c r="N34" s="125" t="s">
        <v>1301</v>
      </c>
      <c r="O34" s="125" t="s">
        <v>1169</v>
      </c>
      <c r="P34" s="125" t="s">
        <v>1307</v>
      </c>
      <c r="Q34" s="125" t="s">
        <v>1269</v>
      </c>
      <c r="R34" s="125" t="s">
        <v>1308</v>
      </c>
      <c r="S34" s="125" t="s">
        <v>1166</v>
      </c>
      <c r="T34" s="125" t="s">
        <v>1170</v>
      </c>
      <c r="U34" s="49"/>
      <c r="V34" s="43"/>
      <c r="X34" s="271">
        <v>1</v>
      </c>
      <c r="Y34" s="271">
        <v>2</v>
      </c>
      <c r="Z34" s="271">
        <v>3</v>
      </c>
      <c r="AA34" s="271">
        <v>4</v>
      </c>
      <c r="AB34" s="271">
        <v>5</v>
      </c>
      <c r="AC34" s="271">
        <v>6</v>
      </c>
    </row>
    <row r="35" spans="1:29" s="37" customFormat="1" ht="63" x14ac:dyDescent="0.25">
      <c r="A35" s="43"/>
      <c r="B35" s="48"/>
      <c r="C35" s="125"/>
      <c r="D35" s="125"/>
      <c r="E35" s="125"/>
      <c r="F35" s="125"/>
      <c r="G35" s="125"/>
      <c r="H35" s="125" t="str">
        <f>IF(1&lt;='Шаг 1. Основные исходные данные'!$E$5,"1 год","-")</f>
        <v>1 год</v>
      </c>
      <c r="I35" s="125" t="str">
        <f>IF(2&lt;='Шаг 1. Основные исходные данные'!$E$5,"2 год","-")</f>
        <v>2 год</v>
      </c>
      <c r="J35" s="125" t="str">
        <f>IF(3&lt;='Шаг 1. Основные исходные данные'!$E$5,"3 год","-")</f>
        <v>3 год</v>
      </c>
      <c r="K35" s="125" t="str">
        <f>IF(4&lt;='Шаг 1. Основные исходные данные'!$E$5,"4 год","-")</f>
        <v>4 год</v>
      </c>
      <c r="L35" s="125" t="str">
        <f>IF(5&lt;='Шаг 1. Основные исходные данные'!$E$5,"5 год","-")</f>
        <v>5 год</v>
      </c>
      <c r="M35" s="125" t="str">
        <f>IF(6&lt;='Шаг 1. Основные исходные данные'!$E$5,"6 год","-")</f>
        <v>6 год</v>
      </c>
      <c r="N35" s="125"/>
      <c r="O35" s="125"/>
      <c r="P35" s="125"/>
      <c r="Q35" s="125"/>
      <c r="R35" s="125"/>
      <c r="S35" s="125"/>
      <c r="T35" s="125"/>
      <c r="U35" s="49"/>
      <c r="V35" s="43"/>
      <c r="X35" s="279" t="s">
        <v>1221</v>
      </c>
      <c r="Y35" s="279" t="s">
        <v>1223</v>
      </c>
      <c r="Z35" s="279" t="s">
        <v>1224</v>
      </c>
      <c r="AA35" s="279" t="s">
        <v>1225</v>
      </c>
      <c r="AB35" s="279" t="s">
        <v>1226</v>
      </c>
      <c r="AC35" s="279" t="s">
        <v>1227</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43"/>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43"/>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43"/>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43"/>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43"/>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90"/>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43"/>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43"/>
      <c r="U43" s="43"/>
      <c r="V43" s="43"/>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43"/>
      <c r="X44" s="272"/>
      <c r="Y44" s="272"/>
      <c r="Z44" s="272"/>
      <c r="AA44" s="272"/>
      <c r="AB44" s="272"/>
      <c r="AC44" s="272"/>
    </row>
    <row r="45" spans="1:29" s="37" customFormat="1" ht="15.75" x14ac:dyDescent="0.25">
      <c r="A45" s="43"/>
      <c r="B45" s="48"/>
      <c r="C45" s="36" t="str">
        <f>CONCATENATE("2.2.",$C$15,". Информационные издержки группы объектов ",$C$15," - """,$D$15,"""")</f>
        <v>2.2.. Информационные издержки группы объектов  - ""</v>
      </c>
      <c r="D45" s="43"/>
      <c r="E45" s="43"/>
      <c r="F45" s="43"/>
      <c r="G45" s="43"/>
      <c r="H45" s="43"/>
      <c r="I45" s="43"/>
      <c r="J45" s="43"/>
      <c r="K45" s="43"/>
      <c r="L45" s="43"/>
      <c r="M45" s="43"/>
      <c r="N45" s="43"/>
      <c r="O45" s="43"/>
      <c r="P45" s="43"/>
      <c r="Q45" s="43"/>
      <c r="R45" s="43"/>
      <c r="S45" s="43"/>
      <c r="T45" s="43"/>
      <c r="U45" s="49"/>
      <c r="V45" s="43"/>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43"/>
      <c r="T46" s="43"/>
      <c r="U46" s="49"/>
      <c r="V46" s="43"/>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43"/>
      <c r="T47" s="43"/>
      <c r="U47" s="49"/>
      <c r="V47" s="43"/>
      <c r="X47" s="272"/>
      <c r="Y47" s="272"/>
      <c r="Z47" s="272"/>
      <c r="AA47" s="272"/>
      <c r="AB47" s="272"/>
      <c r="AC47" s="272"/>
    </row>
    <row r="48" spans="1:29" s="52" customFormat="1" ht="132" customHeight="1" x14ac:dyDescent="0.25">
      <c r="A48" s="23"/>
      <c r="B48" s="50"/>
      <c r="C48" s="326" t="s">
        <v>62</v>
      </c>
      <c r="D48" s="326" t="s">
        <v>64</v>
      </c>
      <c r="E48" s="326" t="s">
        <v>75</v>
      </c>
      <c r="F48" s="326" t="s">
        <v>1231</v>
      </c>
      <c r="G48" s="326"/>
      <c r="H48" s="326"/>
      <c r="I48" s="326"/>
      <c r="J48" s="326"/>
      <c r="K48" s="326"/>
      <c r="L48" s="326" t="s">
        <v>1300</v>
      </c>
      <c r="M48" s="326" t="s">
        <v>1222</v>
      </c>
      <c r="N48" s="125" t="s">
        <v>1309</v>
      </c>
      <c r="O48" s="125" t="s">
        <v>79</v>
      </c>
      <c r="P48" s="125" t="s">
        <v>1159</v>
      </c>
      <c r="Q48" s="43"/>
      <c r="R48" s="43"/>
      <c r="S48" s="23"/>
      <c r="T48" s="23"/>
      <c r="U48" s="51"/>
      <c r="V48" s="23"/>
      <c r="X48" s="272"/>
      <c r="Y48" s="272"/>
      <c r="Z48" s="272"/>
      <c r="AA48" s="272"/>
      <c r="AB48" s="272"/>
      <c r="AC48" s="272"/>
    </row>
    <row r="49" spans="1:29" s="52" customFormat="1" ht="63" x14ac:dyDescent="0.25">
      <c r="A49" s="23"/>
      <c r="B49" s="50"/>
      <c r="C49" s="326"/>
      <c r="D49" s="327"/>
      <c r="E49" s="327"/>
      <c r="F49" s="125" t="str">
        <f>IF(1&lt;='Шаг 1. Основные исходные данные'!$E$5,"1 год","-")</f>
        <v>1 год</v>
      </c>
      <c r="G49" s="125" t="str">
        <f>IF(2&lt;='Шаг 1. Основные исходные данные'!$E$5,"2 год","-")</f>
        <v>2 год</v>
      </c>
      <c r="H49" s="125" t="str">
        <f>IF(3&lt;='Шаг 1. Основные исходные данные'!$E$5,"3 год","-")</f>
        <v>3 год</v>
      </c>
      <c r="I49" s="125" t="str">
        <f>IF(4&lt;='Шаг 1. Основные исходные данные'!$E$5,"4 год","-")</f>
        <v>4 год</v>
      </c>
      <c r="J49" s="125" t="str">
        <f>IF(5&lt;='Шаг 1. Основные исходные данные'!$E$5,"5 год","-")</f>
        <v>5 год</v>
      </c>
      <c r="K49" s="125" t="str">
        <f>IF(6&lt;='Шаг 1. Основные исходные данные'!$E$5,"6 год","-")</f>
        <v>6 год</v>
      </c>
      <c r="L49" s="327"/>
      <c r="M49" s="327"/>
      <c r="N49" s="125"/>
      <c r="O49" s="125"/>
      <c r="P49" s="125"/>
      <c r="Q49" s="43"/>
      <c r="R49" s="43"/>
      <c r="S49" s="23"/>
      <c r="T49" s="23"/>
      <c r="U49" s="51"/>
      <c r="V49" s="23"/>
      <c r="X49" s="279" t="s">
        <v>1221</v>
      </c>
      <c r="Y49" s="279" t="s">
        <v>1223</v>
      </c>
      <c r="Z49" s="279" t="s">
        <v>1224</v>
      </c>
      <c r="AA49" s="279" t="s">
        <v>1225</v>
      </c>
      <c r="AB49" s="279" t="s">
        <v>1226</v>
      </c>
      <c r="AC49" s="279" t="s">
        <v>1227</v>
      </c>
    </row>
    <row r="50" spans="1:29" s="37" customFormat="1" ht="15.75" x14ac:dyDescent="0.25">
      <c r="A50" s="43"/>
      <c r="B50" s="48"/>
      <c r="C50" s="89" t="str">
        <f>IF(LEN(D50)&gt;0,1,"")</f>
        <v/>
      </c>
      <c r="D50" s="31"/>
      <c r="E50" s="96"/>
      <c r="F50" s="96"/>
      <c r="G50" s="96"/>
      <c r="H50" s="96"/>
      <c r="I50" s="96"/>
      <c r="J50" s="96"/>
      <c r="K50" s="96"/>
      <c r="L50" s="96"/>
      <c r="M50" s="96"/>
      <c r="N50" s="96"/>
      <c r="O50" s="97">
        <f>'Шаг 1. Основные исходные данные'!$E$8</f>
        <v>194447.62497669365</v>
      </c>
      <c r="P50" s="97">
        <f>SUM(X50:AC50)</f>
        <v>0</v>
      </c>
      <c r="Q50" s="43"/>
      <c r="R50" s="43"/>
      <c r="S50" s="43"/>
      <c r="T50" s="43"/>
      <c r="U50" s="49"/>
      <c r="V50" s="43"/>
      <c r="W50" s="281"/>
      <c r="X50" s="283">
        <f>$O50*'Шаг 1. Основные исходные данные'!$E$11*(12/'Шаг 1. Основные исходные данные'!$E$10/8)*F50*$M50*$E$15*X$19</f>
        <v>0</v>
      </c>
      <c r="Y50" s="283">
        <f>IF($E50=Dict!$F$2,0,
$O50*'Шаг 1. Основные исходные данные'!$E$11*(12/'Шаг 1. Основные исходные данные'!$E$10/8)*G50*$M50*$E$15*Y$19)</f>
        <v>0</v>
      </c>
      <c r="Z50" s="283">
        <f>IF($E50=Dict!$F$2,0,
$O50*'Шаг 1. Основные исходные данные'!$E$11*(12/'Шаг 1. Основные исходные данные'!$E$10/8)*H50*$M50*$E$15*Z$19)</f>
        <v>0</v>
      </c>
      <c r="AA50" s="283">
        <f>IF($E50=Dict!$F$2,0,
$O50*'Шаг 1. Основные исходные данные'!$E$11*(12/'Шаг 1. Основные исходные данные'!$E$10/8)*I50*$M50*$E$15*AA$19)</f>
        <v>0</v>
      </c>
      <c r="AB50" s="283">
        <f>IF($E50=Dict!$F$2,0,
$O50*'Шаг 1. Основные исходные данные'!$E$11*(12/'Шаг 1. Основные исходные данные'!$E$10/8)*J50*$M50*$E$15*AB$19)</f>
        <v>0</v>
      </c>
      <c r="AC50" s="283">
        <f>IF($E50=Dict!$F$2,0,
$O50*'Шаг 1. Основные исходные данные'!$E$11*(12/'Шаг 1. Основные исходные данные'!$E$10/8)*K50*$M50*$E$15*AC$19)</f>
        <v>0</v>
      </c>
    </row>
    <row r="51" spans="1:29" s="37" customFormat="1" ht="15.75" x14ac:dyDescent="0.25">
      <c r="A51" s="43"/>
      <c r="B51" s="48"/>
      <c r="C51" s="89" t="str">
        <f>IF(LEN(D51)&gt;0,C50+1,"")</f>
        <v/>
      </c>
      <c r="D51" s="31"/>
      <c r="E51" s="96"/>
      <c r="F51" s="96"/>
      <c r="G51" s="96"/>
      <c r="H51" s="96"/>
      <c r="I51" s="96"/>
      <c r="J51" s="96"/>
      <c r="K51" s="96"/>
      <c r="L51" s="96"/>
      <c r="M51" s="96"/>
      <c r="N51" s="96"/>
      <c r="O51" s="97">
        <f>'Шаг 1. Основные исходные данные'!$E$8</f>
        <v>194447.62497669365</v>
      </c>
      <c r="P51" s="97">
        <f>SUM(X51:AC51)</f>
        <v>0</v>
      </c>
      <c r="Q51" s="43"/>
      <c r="R51" s="43"/>
      <c r="S51" s="43"/>
      <c r="T51" s="43"/>
      <c r="U51" s="49"/>
      <c r="V51" s="43"/>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83">
        <f>IF($E51=Dict!$F$2,0,
$O51*'Шаг 1. Основные исходные данные'!$E$11*(12/'Шаг 1. Основные исходные данные'!$E$10/8)*H51*$M51*$E$15*Z$19)</f>
        <v>0</v>
      </c>
      <c r="AA51" s="283">
        <f>IF($E51=Dict!$F$2,0,
$O51*'Шаг 1. Основные исходные данные'!$E$11*(12/'Шаг 1. Основные исходные данные'!$E$10/8)*I51*$M51*$E$15*AA$19)</f>
        <v>0</v>
      </c>
      <c r="AB51" s="283">
        <f>IF($E51=Dict!$F$2,0,
$O51*'Шаг 1. Основные исходные данные'!$E$11*(12/'Шаг 1. Основные исходные данные'!$E$10/8)*J51*$M51*$E$15*AB$19)</f>
        <v>0</v>
      </c>
      <c r="AC51" s="283">
        <f>IF($E51=Dict!$F$2,0,
$O51*'Шаг 1. Основные исходные данные'!$E$11*(12/'Шаг 1. Основные исходные данные'!$E$10/8)*K51*$M51*$E$15*AC$19)</f>
        <v>0</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194447.62497669365</v>
      </c>
      <c r="P52" s="97">
        <f>SUM(X52:AC52)</f>
        <v>0</v>
      </c>
      <c r="Q52" s="43"/>
      <c r="R52" s="43"/>
      <c r="S52" s="43"/>
      <c r="T52" s="43"/>
      <c r="U52" s="49"/>
      <c r="V52" s="43"/>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83">
        <f>IF($E52=Dict!$F$2,0,
$O52*'Шаг 1. Основные исходные данные'!$E$11*(12/'Шаг 1. Основные исходные данные'!$E$10/8)*H52*$M52*$E$15*Z$19)</f>
        <v>0</v>
      </c>
      <c r="AA52" s="283">
        <f>IF($E52=Dict!$F$2,0,
$O52*'Шаг 1. Основные исходные данные'!$E$11*(12/'Шаг 1. Основные исходные данные'!$E$10/8)*I52*$M52*$E$15*AA$19)</f>
        <v>0</v>
      </c>
      <c r="AB52" s="283">
        <f>IF($E52=Dict!$F$2,0,
$O52*'Шаг 1. Основные исходные данные'!$E$11*(12/'Шаг 1. Основные исходные данные'!$E$10/8)*J52*$M52*$E$15*AB$19)</f>
        <v>0</v>
      </c>
      <c r="AC52" s="283">
        <f>IF($E52=Dict!$F$2,0,
$O52*'Шаг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194447.62497669365</v>
      </c>
      <c r="P53" s="97">
        <f>SUM(X53:AC53)</f>
        <v>0</v>
      </c>
      <c r="Q53" s="43"/>
      <c r="R53" s="43"/>
      <c r="S53" s="43"/>
      <c r="T53" s="43"/>
      <c r="U53" s="49"/>
      <c r="V53" s="43"/>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83">
        <f>IF($E53=Dict!$F$2,0,
$O53*'Шаг 1. Основные исходные данные'!$E$11*(12/'Шаг 1. Основные исходные данные'!$E$10/8)*H53*$M53*$E$15*Z$19)</f>
        <v>0</v>
      </c>
      <c r="AA53" s="283">
        <f>IF($E53=Dict!$F$2,0,
$O53*'Шаг 1. Основные исходные данные'!$E$11*(12/'Шаг 1. Основные исходные данные'!$E$10/8)*I53*$M53*$E$15*AA$19)</f>
        <v>0</v>
      </c>
      <c r="AB53" s="283">
        <f>IF($E53=Dict!$F$2,0,
$O53*'Шаг 1. Основные исходные данные'!$E$11*(12/'Шаг 1. Основные исходные данные'!$E$10/8)*J53*$M53*$E$15*AB$19)</f>
        <v>0</v>
      </c>
      <c r="AC53" s="283">
        <f>IF($E53=Dict!$F$2,0,
$O53*'Шаг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194447.62497669365</v>
      </c>
      <c r="P54" s="97">
        <f>SUM(X54:AC54)</f>
        <v>0</v>
      </c>
      <c r="Q54" s="43"/>
      <c r="R54" s="43"/>
      <c r="S54" s="43"/>
      <c r="T54" s="43"/>
      <c r="U54" s="49"/>
      <c r="V54" s="43"/>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83">
        <f>IF($E54=Dict!$F$2,0,
$O54*'Шаг 1. Основные исходные данные'!$E$11*(12/'Шаг 1. Основные исходные данные'!$E$10/8)*H54*$M54*$E$15*Z$19)</f>
        <v>0</v>
      </c>
      <c r="AA54" s="283">
        <f>IF($E54=Dict!$F$2,0,
$O54*'Шаг 1. Основные исходные данные'!$E$11*(12/'Шаг 1. Основные исходные данные'!$E$10/8)*I54*$M54*$E$15*AA$19)</f>
        <v>0</v>
      </c>
      <c r="AB54" s="283">
        <f>IF($E54=Dict!$F$2,0,
$O54*'Шаг 1. Основные исходные данные'!$E$11*(12/'Шаг 1. Основные исходные данные'!$E$10/8)*J54*$M54*$E$15*AB$19)</f>
        <v>0</v>
      </c>
      <c r="AC54" s="283">
        <f>IF($E54=Dict!$F$2,0,
$O54*'Шаг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0</v>
      </c>
      <c r="Q55" s="43"/>
      <c r="R55" s="43"/>
      <c r="S55" s="90"/>
      <c r="T55" s="90"/>
      <c r="U55" s="93"/>
      <c r="V55" s="90"/>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43"/>
      <c r="D56" s="43"/>
      <c r="E56" s="43"/>
      <c r="F56" s="43"/>
      <c r="G56" s="43"/>
      <c r="H56" s="43"/>
      <c r="I56" s="43"/>
      <c r="J56" s="43"/>
      <c r="K56" s="43"/>
      <c r="L56" s="43"/>
      <c r="M56" s="43"/>
      <c r="N56" s="43"/>
      <c r="O56" s="43"/>
      <c r="P56" s="43"/>
      <c r="Q56" s="43"/>
      <c r="R56" s="43"/>
      <c r="S56" s="43"/>
      <c r="T56" s="43"/>
      <c r="U56" s="49"/>
      <c r="V56" s="43"/>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43"/>
      <c r="T57" s="43"/>
      <c r="U57" s="49"/>
      <c r="V57" s="43"/>
      <c r="X57" s="271"/>
      <c r="Y57" s="271"/>
      <c r="Z57" s="271"/>
      <c r="AA57" s="271"/>
      <c r="AB57" s="271"/>
      <c r="AC57" s="271"/>
    </row>
    <row r="58" spans="1:29" s="37" customFormat="1" ht="126" x14ac:dyDescent="0.25">
      <c r="A58" s="43"/>
      <c r="B58" s="48"/>
      <c r="C58" s="125" t="s">
        <v>62</v>
      </c>
      <c r="D58" s="125" t="s">
        <v>74</v>
      </c>
      <c r="E58" s="125" t="s">
        <v>1160</v>
      </c>
      <c r="F58" s="125" t="s">
        <v>1168</v>
      </c>
      <c r="G58" s="125" t="s">
        <v>1167</v>
      </c>
      <c r="H58" s="326" t="s">
        <v>1232</v>
      </c>
      <c r="I58" s="326"/>
      <c r="J58" s="326"/>
      <c r="K58" s="326"/>
      <c r="L58" s="326"/>
      <c r="M58" s="326"/>
      <c r="N58" s="125" t="s">
        <v>1301</v>
      </c>
      <c r="O58" s="125" t="s">
        <v>1169</v>
      </c>
      <c r="P58" s="125" t="s">
        <v>1307</v>
      </c>
      <c r="Q58" s="125" t="s">
        <v>1269</v>
      </c>
      <c r="R58" s="125" t="s">
        <v>1308</v>
      </c>
      <c r="S58" s="125" t="s">
        <v>1166</v>
      </c>
      <c r="T58" s="125" t="s">
        <v>1170</v>
      </c>
      <c r="U58" s="49"/>
      <c r="V58" s="43"/>
      <c r="X58" s="271">
        <v>1</v>
      </c>
      <c r="Y58" s="271">
        <v>2</v>
      </c>
      <c r="Z58" s="271">
        <v>3</v>
      </c>
      <c r="AA58" s="271">
        <v>4</v>
      </c>
      <c r="AB58" s="271">
        <v>5</v>
      </c>
      <c r="AC58" s="271">
        <v>6</v>
      </c>
    </row>
    <row r="59" spans="1:29" s="37" customFormat="1" ht="63" x14ac:dyDescent="0.25">
      <c r="A59" s="43"/>
      <c r="B59" s="48"/>
      <c r="C59" s="125"/>
      <c r="D59" s="125"/>
      <c r="E59" s="125"/>
      <c r="F59" s="125"/>
      <c r="G59" s="125"/>
      <c r="H59" s="125" t="str">
        <f>IF(1&lt;='Шаг 1. Основные исходные данные'!$E$5,"1 год","-")</f>
        <v>1 год</v>
      </c>
      <c r="I59" s="125" t="str">
        <f>IF(2&lt;='Шаг 1. Основные исходные данные'!$E$5,"2 год","-")</f>
        <v>2 год</v>
      </c>
      <c r="J59" s="125" t="str">
        <f>IF(3&lt;='Шаг 1. Основные исходные данные'!$E$5,"3 год","-")</f>
        <v>3 год</v>
      </c>
      <c r="K59" s="125" t="str">
        <f>IF(4&lt;='Шаг 1. Основные исходные данные'!$E$5,"4 год","-")</f>
        <v>4 год</v>
      </c>
      <c r="L59" s="125" t="str">
        <f>IF(5&lt;='Шаг 1. Основные исходные данные'!$E$5,"5 год","-")</f>
        <v>5 год</v>
      </c>
      <c r="M59" s="125" t="str">
        <f>IF(6&lt;='Шаг 1. Основные исходные данные'!$E$5,"6 год","-")</f>
        <v>6 год</v>
      </c>
      <c r="N59" s="125"/>
      <c r="O59" s="125"/>
      <c r="P59" s="125"/>
      <c r="Q59" s="125"/>
      <c r="R59" s="125"/>
      <c r="S59" s="125"/>
      <c r="T59" s="125"/>
      <c r="U59" s="49"/>
      <c r="V59" s="43"/>
      <c r="X59" s="279" t="s">
        <v>1221</v>
      </c>
      <c r="Y59" s="279" t="s">
        <v>1223</v>
      </c>
      <c r="Z59" s="279" t="s">
        <v>1224</v>
      </c>
      <c r="AA59" s="279" t="s">
        <v>1225</v>
      </c>
      <c r="AB59" s="279" t="s">
        <v>1226</v>
      </c>
      <c r="AC59" s="279" t="s">
        <v>1227</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43"/>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43"/>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43"/>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43"/>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43"/>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90"/>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43"/>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43"/>
      <c r="U67" s="43"/>
      <c r="V67" s="43"/>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43"/>
      <c r="X68" s="272"/>
      <c r="Y68" s="272"/>
      <c r="Z68" s="272"/>
      <c r="AA68" s="272"/>
      <c r="AB68" s="272"/>
      <c r="AC68" s="272"/>
    </row>
    <row r="69" spans="1:29" s="37" customFormat="1" ht="15.75" x14ac:dyDescent="0.25">
      <c r="A69" s="43"/>
      <c r="B69" s="48"/>
      <c r="C69" s="36" t="str">
        <f>CONCATENATE("2.2.",$C$16,". Информационные издержки группы объектов ",$C$16," - """,$D$16,"""")</f>
        <v>2.2.. Информационные издержки группы объектов  - ""</v>
      </c>
      <c r="D69" s="43"/>
      <c r="E69" s="43"/>
      <c r="F69" s="43"/>
      <c r="G69" s="43"/>
      <c r="H69" s="43"/>
      <c r="I69" s="43"/>
      <c r="J69" s="43"/>
      <c r="K69" s="43"/>
      <c r="L69" s="43"/>
      <c r="M69" s="43"/>
      <c r="N69" s="43"/>
      <c r="O69" s="43"/>
      <c r="P69" s="43"/>
      <c r="Q69" s="43"/>
      <c r="R69" s="43"/>
      <c r="S69" s="43"/>
      <c r="T69" s="43"/>
      <c r="U69" s="49"/>
      <c r="V69" s="43"/>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43"/>
      <c r="T70" s="43"/>
      <c r="U70" s="49"/>
      <c r="V70" s="43"/>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43"/>
      <c r="T71" s="43"/>
      <c r="U71" s="49"/>
      <c r="V71" s="43"/>
      <c r="X71" s="272"/>
      <c r="Y71" s="272"/>
      <c r="Z71" s="272"/>
      <c r="AA71" s="272"/>
      <c r="AB71" s="272"/>
      <c r="AC71" s="272"/>
    </row>
    <row r="72" spans="1:29" s="52" customFormat="1" ht="129.75" customHeight="1" x14ac:dyDescent="0.25">
      <c r="A72" s="23"/>
      <c r="B72" s="50"/>
      <c r="C72" s="326" t="s">
        <v>62</v>
      </c>
      <c r="D72" s="326" t="s">
        <v>64</v>
      </c>
      <c r="E72" s="326" t="s">
        <v>75</v>
      </c>
      <c r="F72" s="326" t="s">
        <v>1231</v>
      </c>
      <c r="G72" s="326"/>
      <c r="H72" s="326"/>
      <c r="I72" s="326"/>
      <c r="J72" s="326"/>
      <c r="K72" s="326"/>
      <c r="L72" s="326" t="s">
        <v>1300</v>
      </c>
      <c r="M72" s="326" t="s">
        <v>1222</v>
      </c>
      <c r="N72" s="125" t="s">
        <v>1309</v>
      </c>
      <c r="O72" s="125" t="s">
        <v>79</v>
      </c>
      <c r="P72" s="125" t="s">
        <v>1159</v>
      </c>
      <c r="Q72" s="43"/>
      <c r="R72" s="43"/>
      <c r="S72" s="23"/>
      <c r="T72" s="23"/>
      <c r="U72" s="51"/>
      <c r="V72" s="23"/>
      <c r="X72" s="272"/>
      <c r="Y72" s="272"/>
      <c r="Z72" s="272"/>
      <c r="AA72" s="272"/>
      <c r="AB72" s="272"/>
      <c r="AC72" s="272"/>
    </row>
    <row r="73" spans="1:29" s="52" customFormat="1" ht="63" x14ac:dyDescent="0.25">
      <c r="A73" s="23"/>
      <c r="B73" s="50"/>
      <c r="C73" s="326"/>
      <c r="D73" s="327"/>
      <c r="E73" s="327"/>
      <c r="F73" s="125" t="str">
        <f>IF(1&lt;='Шаг 1. Основные исходные данные'!$E$5,"1 год","-")</f>
        <v>1 год</v>
      </c>
      <c r="G73" s="125" t="str">
        <f>IF(2&lt;='Шаг 1. Основные исходные данные'!$E$5,"2 год","-")</f>
        <v>2 год</v>
      </c>
      <c r="H73" s="125" t="str">
        <f>IF(3&lt;='Шаг 1. Основные исходные данные'!$E$5,"3 год","-")</f>
        <v>3 год</v>
      </c>
      <c r="I73" s="125" t="str">
        <f>IF(4&lt;='Шаг 1. Основные исходные данные'!$E$5,"4 год","-")</f>
        <v>4 год</v>
      </c>
      <c r="J73" s="125" t="str">
        <f>IF(5&lt;='Шаг 1. Основные исходные данные'!$E$5,"5 год","-")</f>
        <v>5 год</v>
      </c>
      <c r="K73" s="125" t="str">
        <f>IF(6&lt;='Шаг 1. Основные исходные данные'!$E$5,"6 год","-")</f>
        <v>6 год</v>
      </c>
      <c r="L73" s="327"/>
      <c r="M73" s="327"/>
      <c r="N73" s="125"/>
      <c r="O73" s="125"/>
      <c r="P73" s="125"/>
      <c r="Q73" s="43"/>
      <c r="R73" s="43"/>
      <c r="S73" s="23"/>
      <c r="T73" s="23"/>
      <c r="U73" s="51"/>
      <c r="V73" s="23"/>
      <c r="X73" s="279" t="s">
        <v>1221</v>
      </c>
      <c r="Y73" s="279" t="s">
        <v>1223</v>
      </c>
      <c r="Z73" s="279" t="s">
        <v>1224</v>
      </c>
      <c r="AA73" s="279" t="s">
        <v>1225</v>
      </c>
      <c r="AB73" s="279" t="s">
        <v>1226</v>
      </c>
      <c r="AC73" s="279" t="s">
        <v>1227</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194447.62497669365</v>
      </c>
      <c r="P74" s="97">
        <f>SUM(X74:AC74)</f>
        <v>0</v>
      </c>
      <c r="Q74" s="43"/>
      <c r="R74" s="43"/>
      <c r="S74" s="43"/>
      <c r="T74" s="43"/>
      <c r="U74" s="49"/>
      <c r="V74" s="43"/>
      <c r="W74" s="281"/>
      <c r="X74" s="283">
        <f>$O74*'Шаг 1. Основные исходные данные'!$E$11*(12/'Шаг 1. Основные исходные данные'!$E$10/8)*F74*$M74*$E$16*X$19</f>
        <v>0</v>
      </c>
      <c r="Y74" s="283">
        <f>IF($E74=Dict!$F$2,0,
$O74*'Шаг 1. Основные исходные данные'!$E$11*(12/'Шаг 1. Основные исходные данные'!$E$10/8)*G74*$M74*$E$16*Y$19)</f>
        <v>0</v>
      </c>
      <c r="Z74" s="283">
        <f>IF($E74=Dict!$F$2,0,
$O74*'Шаг 1. Основные исходные данные'!$E$11*(12/'Шаг 1. Основные исходные данные'!$E$10/8)*H74*$M74*$E$16*Z$19)</f>
        <v>0</v>
      </c>
      <c r="AA74" s="283">
        <f>IF($E74=Dict!$F$2,0,
$O74*'Шаг 1. Основные исходные данные'!$E$11*(12/'Шаг 1. Основные исходные данные'!$E$10/8)*I74*$M74*$E$16*AA$19)</f>
        <v>0</v>
      </c>
      <c r="AB74" s="283">
        <f>IF($E74=Dict!$F$2,0,
$O74*'Шаг 1. Основные исходные данные'!$E$11*(12/'Шаг 1. Основные исходные данные'!$E$10/8)*J74*$M74*$E$16*AB$19)</f>
        <v>0</v>
      </c>
      <c r="AC74" s="283">
        <f>IF($E74=Dict!$F$2,0,
$O74*'Шаг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194447.62497669365</v>
      </c>
      <c r="P75" s="97">
        <f>SUM(X75:AC75)</f>
        <v>0</v>
      </c>
      <c r="Q75" s="43"/>
      <c r="R75" s="43"/>
      <c r="S75" s="43"/>
      <c r="T75" s="43"/>
      <c r="U75" s="49"/>
      <c r="V75" s="43"/>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83">
        <f>IF($E75=Dict!$F$2,0,
$O75*'Шаг 1. Основные исходные данные'!$E$11*(12/'Шаг 1. Основные исходные данные'!$E$10/8)*H75*$M75*$E$16*Z$19)</f>
        <v>0</v>
      </c>
      <c r="AA75" s="283">
        <f>IF($E75=Dict!$F$2,0,
$O75*'Шаг 1. Основные исходные данные'!$E$11*(12/'Шаг 1. Основные исходные данные'!$E$10/8)*I75*$M75*$E$16*AA$19)</f>
        <v>0</v>
      </c>
      <c r="AB75" s="283">
        <f>IF($E75=Dict!$F$2,0,
$O75*'Шаг 1. Основные исходные данные'!$E$11*(12/'Шаг 1. Основные исходные данные'!$E$10/8)*J75*$M75*$E$16*AB$19)</f>
        <v>0</v>
      </c>
      <c r="AC75" s="283">
        <f>IF($E75=Dict!$F$2,0,
$O75*'Шаг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194447.62497669365</v>
      </c>
      <c r="P76" s="97">
        <f>SUM(X76:AC76)</f>
        <v>0</v>
      </c>
      <c r="Q76" s="43"/>
      <c r="R76" s="43"/>
      <c r="S76" s="43"/>
      <c r="T76" s="43"/>
      <c r="U76" s="49"/>
      <c r="V76" s="43"/>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83">
        <f>IF($E76=Dict!$F$2,0,
$O76*'Шаг 1. Основные исходные данные'!$E$11*(12/'Шаг 1. Основные исходные данные'!$E$10/8)*H76*$M76*$E$16*Z$19)</f>
        <v>0</v>
      </c>
      <c r="AA76" s="283">
        <f>IF($E76=Dict!$F$2,0,
$O76*'Шаг 1. Основные исходные данные'!$E$11*(12/'Шаг 1. Основные исходные данные'!$E$10/8)*I76*$M76*$E$16*AA$19)</f>
        <v>0</v>
      </c>
      <c r="AB76" s="283">
        <f>IF($E76=Dict!$F$2,0,
$O76*'Шаг 1. Основные исходные данные'!$E$11*(12/'Шаг 1. Основные исходные данные'!$E$10/8)*J76*$M76*$E$16*AB$19)</f>
        <v>0</v>
      </c>
      <c r="AC76" s="283">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194447.62497669365</v>
      </c>
      <c r="P77" s="97">
        <f>SUM(X77:AC77)</f>
        <v>0</v>
      </c>
      <c r="Q77" s="43"/>
      <c r="R77" s="43"/>
      <c r="S77" s="43"/>
      <c r="T77" s="43"/>
      <c r="U77" s="49"/>
      <c r="V77" s="43"/>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83">
        <f>IF($E77=Dict!$F$2,0,
$O77*'Шаг 1. Основные исходные данные'!$E$11*(12/'Шаг 1. Основные исходные данные'!$E$10/8)*H77*$M77*$E$16*Z$19)</f>
        <v>0</v>
      </c>
      <c r="AA77" s="283">
        <f>IF($E77=Dict!$F$2,0,
$O77*'Шаг 1. Основные исходные данные'!$E$11*(12/'Шаг 1. Основные исходные данные'!$E$10/8)*I77*$M77*$E$16*AA$19)</f>
        <v>0</v>
      </c>
      <c r="AB77" s="283">
        <f>IF($E77=Dict!$F$2,0,
$O77*'Шаг 1. Основные исходные данные'!$E$11*(12/'Шаг 1. Основные исходные данные'!$E$10/8)*J77*$M77*$E$16*AB$19)</f>
        <v>0</v>
      </c>
      <c r="AC77" s="283">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194447.62497669365</v>
      </c>
      <c r="P78" s="97">
        <f>SUM(X78:AC78)</f>
        <v>0</v>
      </c>
      <c r="Q78" s="43"/>
      <c r="R78" s="43"/>
      <c r="S78" s="43"/>
      <c r="T78" s="43"/>
      <c r="U78" s="49"/>
      <c r="V78" s="43"/>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83">
        <f>IF($E78=Dict!$F$2,0,
$O78*'Шаг 1. Основные исходные данные'!$E$11*(12/'Шаг 1. Основные исходные данные'!$E$10/8)*H78*$M78*$E$16*Z$19)</f>
        <v>0</v>
      </c>
      <c r="AA78" s="283">
        <f>IF($E78=Dict!$F$2,0,
$O78*'Шаг 1. Основные исходные данные'!$E$11*(12/'Шаг 1. Основные исходные данные'!$E$10/8)*I78*$M78*$E$16*AA$19)</f>
        <v>0</v>
      </c>
      <c r="AB78" s="283">
        <f>IF($E78=Dict!$F$2,0,
$O78*'Шаг 1. Основные исходные данные'!$E$11*(12/'Шаг 1. Основные исходные данные'!$E$10/8)*J78*$M78*$E$16*AB$19)</f>
        <v>0</v>
      </c>
      <c r="AC78" s="283">
        <f>IF($E78=Dict!$F$2,0,
$O78*'Шаг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90"/>
      <c r="T79" s="90"/>
      <c r="U79" s="93"/>
      <c r="V79" s="90"/>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43"/>
      <c r="T80" s="43"/>
      <c r="U80" s="49"/>
      <c r="V80" s="43"/>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43"/>
      <c r="T81" s="43"/>
      <c r="U81" s="49"/>
      <c r="V81" s="43"/>
      <c r="X81" s="271"/>
      <c r="Y81" s="271"/>
      <c r="Z81" s="271"/>
      <c r="AA81" s="271"/>
      <c r="AB81" s="271"/>
      <c r="AC81" s="271"/>
    </row>
    <row r="82" spans="1:29" s="37" customFormat="1" ht="126" x14ac:dyDescent="0.25">
      <c r="A82" s="43"/>
      <c r="B82" s="48"/>
      <c r="C82" s="125" t="s">
        <v>62</v>
      </c>
      <c r="D82" s="125" t="s">
        <v>74</v>
      </c>
      <c r="E82" s="125" t="s">
        <v>1160</v>
      </c>
      <c r="F82" s="125" t="s">
        <v>1168</v>
      </c>
      <c r="G82" s="125" t="s">
        <v>1167</v>
      </c>
      <c r="H82" s="326" t="s">
        <v>1232</v>
      </c>
      <c r="I82" s="326"/>
      <c r="J82" s="326"/>
      <c r="K82" s="326"/>
      <c r="L82" s="326"/>
      <c r="M82" s="326"/>
      <c r="N82" s="125" t="s">
        <v>1301</v>
      </c>
      <c r="O82" s="125" t="s">
        <v>1169</v>
      </c>
      <c r="P82" s="125" t="s">
        <v>1307</v>
      </c>
      <c r="Q82" s="125" t="s">
        <v>1269</v>
      </c>
      <c r="R82" s="125" t="s">
        <v>1308</v>
      </c>
      <c r="S82" s="125" t="s">
        <v>1166</v>
      </c>
      <c r="T82" s="125" t="s">
        <v>1170</v>
      </c>
      <c r="U82" s="49"/>
      <c r="V82" s="43"/>
      <c r="X82" s="271">
        <v>1</v>
      </c>
      <c r="Y82" s="271">
        <v>2</v>
      </c>
      <c r="Z82" s="271">
        <v>3</v>
      </c>
      <c r="AA82" s="271">
        <v>4</v>
      </c>
      <c r="AB82" s="271">
        <v>5</v>
      </c>
      <c r="AC82" s="271">
        <v>6</v>
      </c>
    </row>
    <row r="83" spans="1:29" s="37" customFormat="1" ht="63" x14ac:dyDescent="0.25">
      <c r="A83" s="43"/>
      <c r="B83" s="48"/>
      <c r="C83" s="125"/>
      <c r="D83" s="125"/>
      <c r="E83" s="125"/>
      <c r="F83" s="125"/>
      <c r="G83" s="125"/>
      <c r="H83" s="125" t="str">
        <f>IF(1&lt;='Шаг 1. Основные исходные данные'!$E$5,"1 год","-")</f>
        <v>1 год</v>
      </c>
      <c r="I83" s="125" t="str">
        <f>IF(2&lt;='Шаг 1. Основные исходные данные'!$E$5,"2 год","-")</f>
        <v>2 год</v>
      </c>
      <c r="J83" s="125" t="str">
        <f>IF(3&lt;='Шаг 1. Основные исходные данные'!$E$5,"3 год","-")</f>
        <v>3 год</v>
      </c>
      <c r="K83" s="125" t="str">
        <f>IF(4&lt;='Шаг 1. Основные исходные данные'!$E$5,"4 год","-")</f>
        <v>4 год</v>
      </c>
      <c r="L83" s="125" t="str">
        <f>IF(5&lt;='Шаг 1. Основные исходные данные'!$E$5,"5 год","-")</f>
        <v>5 год</v>
      </c>
      <c r="M83" s="125" t="str">
        <f>IF(6&lt;='Шаг 1. Основные исходные данные'!$E$5,"6 год","-")</f>
        <v>6 год</v>
      </c>
      <c r="N83" s="125"/>
      <c r="O83" s="125"/>
      <c r="P83" s="125"/>
      <c r="Q83" s="125"/>
      <c r="R83" s="125"/>
      <c r="S83" s="125"/>
      <c r="T83" s="125"/>
      <c r="U83" s="49"/>
      <c r="V83" s="43"/>
      <c r="X83" s="279" t="s">
        <v>1221</v>
      </c>
      <c r="Y83" s="279" t="s">
        <v>1223</v>
      </c>
      <c r="Z83" s="279" t="s">
        <v>1224</v>
      </c>
      <c r="AA83" s="279" t="s">
        <v>1225</v>
      </c>
      <c r="AB83" s="279" t="s">
        <v>1226</v>
      </c>
      <c r="AC83" s="279" t="s">
        <v>1227</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43"/>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43"/>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43"/>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43"/>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43"/>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90"/>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43"/>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43"/>
      <c r="U91" s="43"/>
      <c r="V91" s="43"/>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43"/>
      <c r="X92" s="272"/>
      <c r="Y92" s="272"/>
      <c r="Z92" s="272"/>
      <c r="AA92" s="272"/>
      <c r="AB92" s="272"/>
      <c r="AC92" s="272"/>
    </row>
    <row r="93" spans="1:29" s="37" customFormat="1" ht="15.75" x14ac:dyDescent="0.25">
      <c r="A93" s="43"/>
      <c r="B93" s="48"/>
      <c r="C93" s="36" t="str">
        <f>CONCATENATE("2.2.",$C$17,". Информационные издержки группы объектов ",$C$17," - """,$D$17,"""")</f>
        <v>2.2.. Информационные издержки группы объектов  - ""</v>
      </c>
      <c r="D93" s="43"/>
      <c r="E93" s="43"/>
      <c r="F93" s="43"/>
      <c r="G93" s="43"/>
      <c r="H93" s="43"/>
      <c r="I93" s="43"/>
      <c r="J93" s="43"/>
      <c r="K93" s="43"/>
      <c r="L93" s="43"/>
      <c r="M93" s="43"/>
      <c r="N93" s="43"/>
      <c r="O93" s="43"/>
      <c r="P93" s="43"/>
      <c r="Q93" s="43"/>
      <c r="R93" s="43"/>
      <c r="S93" s="43"/>
      <c r="T93" s="43"/>
      <c r="U93" s="49"/>
      <c r="V93" s="43"/>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43"/>
      <c r="T94" s="43"/>
      <c r="U94" s="49"/>
      <c r="V94" s="43"/>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43"/>
      <c r="T95" s="43"/>
      <c r="U95" s="49"/>
      <c r="V95" s="43"/>
      <c r="X95" s="272"/>
      <c r="Y95" s="272"/>
      <c r="Z95" s="272"/>
      <c r="AA95" s="272"/>
      <c r="AB95" s="272"/>
      <c r="AC95" s="272"/>
    </row>
    <row r="96" spans="1:29" s="52" customFormat="1" ht="129.75" customHeight="1" x14ac:dyDescent="0.25">
      <c r="A96" s="23"/>
      <c r="B96" s="50"/>
      <c r="C96" s="326" t="s">
        <v>62</v>
      </c>
      <c r="D96" s="326" t="s">
        <v>64</v>
      </c>
      <c r="E96" s="326" t="s">
        <v>75</v>
      </c>
      <c r="F96" s="326" t="s">
        <v>1231</v>
      </c>
      <c r="G96" s="326"/>
      <c r="H96" s="326"/>
      <c r="I96" s="326"/>
      <c r="J96" s="326"/>
      <c r="K96" s="326"/>
      <c r="L96" s="326" t="s">
        <v>1300</v>
      </c>
      <c r="M96" s="326" t="s">
        <v>1222</v>
      </c>
      <c r="N96" s="125" t="s">
        <v>1309</v>
      </c>
      <c r="O96" s="125" t="s">
        <v>79</v>
      </c>
      <c r="P96" s="125" t="s">
        <v>1159</v>
      </c>
      <c r="Q96" s="43"/>
      <c r="R96" s="43"/>
      <c r="S96" s="23"/>
      <c r="T96" s="23"/>
      <c r="U96" s="51"/>
      <c r="V96" s="23"/>
      <c r="X96" s="272"/>
      <c r="Y96" s="272"/>
      <c r="Z96" s="272"/>
      <c r="AA96" s="272"/>
      <c r="AB96" s="272"/>
      <c r="AC96" s="272"/>
    </row>
    <row r="97" spans="1:29" s="52" customFormat="1" ht="63" x14ac:dyDescent="0.25">
      <c r="A97" s="23"/>
      <c r="B97" s="50"/>
      <c r="C97" s="326"/>
      <c r="D97" s="327"/>
      <c r="E97" s="327"/>
      <c r="F97" s="125" t="str">
        <f>IF(1&lt;='Шаг 1. Основные исходные данные'!$E$5,"1 год","-")</f>
        <v>1 год</v>
      </c>
      <c r="G97" s="125" t="str">
        <f>IF(2&lt;='Шаг 1. Основные исходные данные'!$E$5,"2 год","-")</f>
        <v>2 год</v>
      </c>
      <c r="H97" s="125" t="str">
        <f>IF(3&lt;='Шаг 1. Основные исходные данные'!$E$5,"3 год","-")</f>
        <v>3 год</v>
      </c>
      <c r="I97" s="125" t="str">
        <f>IF(4&lt;='Шаг 1. Основные исходные данные'!$E$5,"4 год","-")</f>
        <v>4 год</v>
      </c>
      <c r="J97" s="125" t="str">
        <f>IF(5&lt;='Шаг 1. Основные исходные данные'!$E$5,"5 год","-")</f>
        <v>5 год</v>
      </c>
      <c r="K97" s="125" t="str">
        <f>IF(6&lt;='Шаг 1. Основные исходные данные'!$E$5,"6 год","-")</f>
        <v>6 год</v>
      </c>
      <c r="L97" s="327"/>
      <c r="M97" s="327"/>
      <c r="N97" s="125"/>
      <c r="O97" s="125"/>
      <c r="P97" s="125"/>
      <c r="Q97" s="43"/>
      <c r="R97" s="43"/>
      <c r="S97" s="23"/>
      <c r="T97" s="23"/>
      <c r="U97" s="51"/>
      <c r="V97" s="23"/>
      <c r="X97" s="279" t="s">
        <v>1221</v>
      </c>
      <c r="Y97" s="279" t="s">
        <v>1223</v>
      </c>
      <c r="Z97" s="279" t="s">
        <v>1224</v>
      </c>
      <c r="AA97" s="279" t="s">
        <v>1225</v>
      </c>
      <c r="AB97" s="279" t="s">
        <v>1226</v>
      </c>
      <c r="AC97" s="279" t="s">
        <v>1227</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194447.62497669365</v>
      </c>
      <c r="P98" s="97">
        <f>SUM(X98:AC98)</f>
        <v>0</v>
      </c>
      <c r="Q98" s="43"/>
      <c r="R98" s="43"/>
      <c r="S98" s="43"/>
      <c r="T98" s="43"/>
      <c r="U98" s="49"/>
      <c r="V98" s="43"/>
      <c r="W98" s="281"/>
      <c r="X98" s="283">
        <f>$O98*'Шаг 1. Основные исходные данные'!$E$11*(12/'Шаг 1. Основные исходные данные'!$E$10/8)*F98*$M98*$E$17*X$19</f>
        <v>0</v>
      </c>
      <c r="Y98" s="283">
        <f>IF($E98=Dict!$F$2,0,
$O98*'Шаг 1. Основные исходные данные'!$E$11*(12/'Шаг 1. Основные исходные данные'!$E$10/8)*G98*$M98*$E$17*Y$19)</f>
        <v>0</v>
      </c>
      <c r="Z98" s="283">
        <f>IF($E98=Dict!$F$2,0,
$O98*'Шаг 1. Основные исходные данные'!$E$11*(12/'Шаг 1. Основные исходные данные'!$E$10/8)*H98*$M98*$E$17*Z$19)</f>
        <v>0</v>
      </c>
      <c r="AA98" s="283">
        <f>IF($E98=Dict!$F$2,0,
$O98*'Шаг 1. Основные исходные данные'!$E$11*(12/'Шаг 1. Основные исходные данные'!$E$10/8)*I98*$M98*$E$17*AA$19)</f>
        <v>0</v>
      </c>
      <c r="AB98" s="283">
        <f>IF($E98=Dict!$F$2,0,
$O98*'Шаг 1. Основные исходные данные'!$E$11*(12/'Шаг 1. Основные исходные данные'!$E$10/8)*J98*$M98*$E$17*AB$19)</f>
        <v>0</v>
      </c>
      <c r="AC98" s="283">
        <f>IF($E98=Dict!$F$2,0,
$O98*'Шаг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194447.62497669365</v>
      </c>
      <c r="P99" s="97">
        <f>SUM(X99:AC99)</f>
        <v>0</v>
      </c>
      <c r="Q99" s="43"/>
      <c r="R99" s="43"/>
      <c r="S99" s="43"/>
      <c r="T99" s="43"/>
      <c r="U99" s="49"/>
      <c r="V99" s="43"/>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83">
        <f>IF($E99=Dict!$F$2,0,
$O99*'Шаг 1. Основные исходные данные'!$E$11*(12/'Шаг 1. Основные исходные данные'!$E$10/8)*H99*$M99*$E$17*Z$19)</f>
        <v>0</v>
      </c>
      <c r="AA99" s="283">
        <f>IF($E99=Dict!$F$2,0,
$O99*'Шаг 1. Основные исходные данные'!$E$11*(12/'Шаг 1. Основные исходные данные'!$E$10/8)*I99*$M99*$E$17*AA$19)</f>
        <v>0</v>
      </c>
      <c r="AB99" s="283">
        <f>IF($E99=Dict!$F$2,0,
$O99*'Шаг 1. Основные исходные данные'!$E$11*(12/'Шаг 1. Основные исходные данные'!$E$10/8)*J99*$M99*$E$17*AB$19)</f>
        <v>0</v>
      </c>
      <c r="AC99" s="283">
        <f>IF($E99=Dict!$F$2,0,
$O99*'Шаг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194447.62497669365</v>
      </c>
      <c r="P100" s="97">
        <f>SUM(X100:AC100)</f>
        <v>0</v>
      </c>
      <c r="Q100" s="43"/>
      <c r="R100" s="43"/>
      <c r="S100" s="43"/>
      <c r="T100" s="43"/>
      <c r="U100" s="49"/>
      <c r="V100" s="43"/>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83">
        <f>IF($E100=Dict!$F$2,0,
$O100*'Шаг 1. Основные исходные данные'!$E$11*(12/'Шаг 1. Основные исходные данные'!$E$10/8)*H100*$M100*$E$17*Z$19)</f>
        <v>0</v>
      </c>
      <c r="AA100" s="283">
        <f>IF($E100=Dict!$F$2,0,
$O100*'Шаг 1. Основные исходные данные'!$E$11*(12/'Шаг 1. Основные исходные данные'!$E$10/8)*I100*$M100*$E$17*AA$19)</f>
        <v>0</v>
      </c>
      <c r="AB100" s="283">
        <f>IF($E100=Dict!$F$2,0,
$O100*'Шаг 1. Основные исходные данные'!$E$11*(12/'Шаг 1. Основные исходные данные'!$E$10/8)*J100*$M100*$E$17*AB$19)</f>
        <v>0</v>
      </c>
      <c r="AC100" s="283">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194447.62497669365</v>
      </c>
      <c r="P101" s="97">
        <f>SUM(X101:AC101)</f>
        <v>0</v>
      </c>
      <c r="Q101" s="43"/>
      <c r="R101" s="43"/>
      <c r="S101" s="43"/>
      <c r="T101" s="43"/>
      <c r="U101" s="49"/>
      <c r="V101" s="43"/>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83">
        <f>IF($E101=Dict!$F$2,0,
$O101*'Шаг 1. Основные исходные данные'!$E$11*(12/'Шаг 1. Основные исходные данные'!$E$10/8)*H101*$M101*$E$17*Z$19)</f>
        <v>0</v>
      </c>
      <c r="AA101" s="283">
        <f>IF($E101=Dict!$F$2,0,
$O101*'Шаг 1. Основные исходные данные'!$E$11*(12/'Шаг 1. Основные исходные данные'!$E$10/8)*I101*$M101*$E$17*AA$19)</f>
        <v>0</v>
      </c>
      <c r="AB101" s="283">
        <f>IF($E101=Dict!$F$2,0,
$O101*'Шаг 1. Основные исходные данные'!$E$11*(12/'Шаг 1. Основные исходные данные'!$E$10/8)*J101*$M101*$E$17*AB$19)</f>
        <v>0</v>
      </c>
      <c r="AC101" s="283">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194447.62497669365</v>
      </c>
      <c r="P102" s="97">
        <f>SUM(X102:AC102)</f>
        <v>0</v>
      </c>
      <c r="Q102" s="43"/>
      <c r="R102" s="43"/>
      <c r="S102" s="43"/>
      <c r="T102" s="43"/>
      <c r="U102" s="49"/>
      <c r="V102" s="43"/>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83">
        <f>IF($E102=Dict!$F$2,0,
$O102*'Шаг 1. Основные исходные данные'!$E$11*(12/'Шаг 1. Основные исходные данные'!$E$10/8)*H102*$M102*$E$17*Z$19)</f>
        <v>0</v>
      </c>
      <c r="AA102" s="283">
        <f>IF($E102=Dict!$F$2,0,
$O102*'Шаг 1. Основные исходные данные'!$E$11*(12/'Шаг 1. Основные исходные данные'!$E$10/8)*I102*$M102*$E$17*AA$19)</f>
        <v>0</v>
      </c>
      <c r="AB102" s="283">
        <f>IF($E102=Dict!$F$2,0,
$O102*'Шаг 1. Основные исходные данные'!$E$11*(12/'Шаг 1. Основные исходные данные'!$E$10/8)*J102*$M102*$E$17*AB$19)</f>
        <v>0</v>
      </c>
      <c r="AC102" s="283">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90"/>
      <c r="T103" s="90"/>
      <c r="U103" s="93"/>
      <c r="V103" s="90"/>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43"/>
      <c r="T104" s="43"/>
      <c r="U104" s="49"/>
      <c r="V104" s="43"/>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43"/>
      <c r="T105" s="43"/>
      <c r="U105" s="49"/>
      <c r="V105" s="43"/>
      <c r="X105" s="271"/>
      <c r="Y105" s="271"/>
      <c r="Z105" s="271"/>
      <c r="AA105" s="271"/>
      <c r="AB105" s="271"/>
      <c r="AC105" s="271"/>
    </row>
    <row r="106" spans="1:29" s="37" customFormat="1" ht="126" x14ac:dyDescent="0.25">
      <c r="A106" s="43"/>
      <c r="B106" s="48"/>
      <c r="C106" s="125" t="s">
        <v>62</v>
      </c>
      <c r="D106" s="125" t="s">
        <v>74</v>
      </c>
      <c r="E106" s="125" t="s">
        <v>1160</v>
      </c>
      <c r="F106" s="125" t="s">
        <v>1168</v>
      </c>
      <c r="G106" s="125" t="s">
        <v>1167</v>
      </c>
      <c r="H106" s="326" t="s">
        <v>1232</v>
      </c>
      <c r="I106" s="326"/>
      <c r="J106" s="326"/>
      <c r="K106" s="326"/>
      <c r="L106" s="326"/>
      <c r="M106" s="326"/>
      <c r="N106" s="125" t="s">
        <v>1301</v>
      </c>
      <c r="O106" s="125" t="s">
        <v>1169</v>
      </c>
      <c r="P106" s="125" t="s">
        <v>1307</v>
      </c>
      <c r="Q106" s="125" t="s">
        <v>1269</v>
      </c>
      <c r="R106" s="125" t="s">
        <v>1308</v>
      </c>
      <c r="S106" s="125" t="s">
        <v>1166</v>
      </c>
      <c r="T106" s="125" t="s">
        <v>1170</v>
      </c>
      <c r="U106" s="49"/>
      <c r="V106" s="43"/>
      <c r="X106" s="271">
        <v>1</v>
      </c>
      <c r="Y106" s="271">
        <v>2</v>
      </c>
      <c r="Z106" s="271">
        <v>3</v>
      </c>
      <c r="AA106" s="271">
        <v>4</v>
      </c>
      <c r="AB106" s="271">
        <v>5</v>
      </c>
      <c r="AC106" s="271">
        <v>6</v>
      </c>
    </row>
    <row r="107" spans="1:29" s="37" customFormat="1" ht="63" x14ac:dyDescent="0.25">
      <c r="A107" s="43"/>
      <c r="B107" s="48"/>
      <c r="C107" s="125"/>
      <c r="D107" s="125"/>
      <c r="E107" s="125"/>
      <c r="F107" s="125"/>
      <c r="G107" s="125"/>
      <c r="H107" s="125" t="str">
        <f>IF(1&lt;='Шаг 1. Основные исходные данные'!$E$5,"1 год","-")</f>
        <v>1 год</v>
      </c>
      <c r="I107" s="125" t="str">
        <f>IF(2&lt;='Шаг 1. Основные исходные данные'!$E$5,"2 год","-")</f>
        <v>2 год</v>
      </c>
      <c r="J107" s="125" t="str">
        <f>IF(3&lt;='Шаг 1. Основные исходные данные'!$E$5,"3 год","-")</f>
        <v>3 год</v>
      </c>
      <c r="K107" s="125" t="str">
        <f>IF(4&lt;='Шаг 1. Основные исходные данные'!$E$5,"4 год","-")</f>
        <v>4 год</v>
      </c>
      <c r="L107" s="125" t="str">
        <f>IF(5&lt;='Шаг 1. Основные исходные данные'!$E$5,"5 год","-")</f>
        <v>5 год</v>
      </c>
      <c r="M107" s="125" t="str">
        <f>IF(6&lt;='Шаг 1. Основные исходные данные'!$E$5,"6 год","-")</f>
        <v>6 год</v>
      </c>
      <c r="N107" s="125"/>
      <c r="O107" s="125"/>
      <c r="P107" s="125"/>
      <c r="Q107" s="125"/>
      <c r="R107" s="125"/>
      <c r="S107" s="125"/>
      <c r="T107" s="125"/>
      <c r="U107" s="49"/>
      <c r="V107" s="43"/>
      <c r="X107" s="279" t="s">
        <v>1221</v>
      </c>
      <c r="Y107" s="279" t="s">
        <v>1223</v>
      </c>
      <c r="Z107" s="279" t="s">
        <v>1224</v>
      </c>
      <c r="AA107" s="279" t="s">
        <v>1225</v>
      </c>
      <c r="AB107" s="279" t="s">
        <v>1226</v>
      </c>
      <c r="AC107" s="279" t="s">
        <v>1227</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43"/>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43"/>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43"/>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43"/>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43"/>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90"/>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43"/>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43"/>
      <c r="X116" s="272"/>
      <c r="Y116" s="272"/>
      <c r="Z116" s="272"/>
      <c r="AA116" s="272"/>
      <c r="AB116" s="272"/>
      <c r="AC116" s="272"/>
    </row>
    <row r="117" spans="1:29" s="37" customFormat="1" ht="15.75" x14ac:dyDescent="0.25">
      <c r="A117" s="43"/>
      <c r="B117" s="48"/>
      <c r="C117" s="36" t="str">
        <f>CONCATENATE("2.2.",$C$18,". Информационные издержки группы объектов ",$C$18," - """,$D$18,"""")</f>
        <v>2.2.. Информационные издержки группы объектов  - ""</v>
      </c>
      <c r="D117" s="43"/>
      <c r="E117" s="43"/>
      <c r="F117" s="43"/>
      <c r="G117" s="43"/>
      <c r="H117" s="43"/>
      <c r="I117" s="43"/>
      <c r="J117" s="43"/>
      <c r="K117" s="43"/>
      <c r="L117" s="43"/>
      <c r="M117" s="43"/>
      <c r="N117" s="43"/>
      <c r="O117" s="43"/>
      <c r="P117" s="43"/>
      <c r="Q117" s="43"/>
      <c r="R117" s="43"/>
      <c r="S117" s="43"/>
      <c r="T117" s="43"/>
      <c r="U117" s="49"/>
      <c r="V117" s="43"/>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43"/>
      <c r="T118" s="43"/>
      <c r="U118" s="49"/>
      <c r="V118" s="43"/>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43"/>
      <c r="T119" s="43"/>
      <c r="U119" s="49"/>
      <c r="V119" s="43"/>
      <c r="X119" s="272"/>
      <c r="Y119" s="272"/>
      <c r="Z119" s="272"/>
      <c r="AA119" s="272"/>
      <c r="AB119" s="272"/>
      <c r="AC119" s="272"/>
    </row>
    <row r="120" spans="1:29" s="52" customFormat="1" ht="132.75" customHeight="1" x14ac:dyDescent="0.25">
      <c r="A120" s="23"/>
      <c r="B120" s="50"/>
      <c r="C120" s="326" t="s">
        <v>62</v>
      </c>
      <c r="D120" s="326" t="s">
        <v>64</v>
      </c>
      <c r="E120" s="326" t="s">
        <v>75</v>
      </c>
      <c r="F120" s="326" t="s">
        <v>1231</v>
      </c>
      <c r="G120" s="326"/>
      <c r="H120" s="326"/>
      <c r="I120" s="326"/>
      <c r="J120" s="326"/>
      <c r="K120" s="326"/>
      <c r="L120" s="326" t="s">
        <v>1300</v>
      </c>
      <c r="M120" s="326" t="s">
        <v>1222</v>
      </c>
      <c r="N120" s="125" t="s">
        <v>1309</v>
      </c>
      <c r="O120" s="125" t="s">
        <v>79</v>
      </c>
      <c r="P120" s="125" t="s">
        <v>1159</v>
      </c>
      <c r="Q120" s="43"/>
      <c r="R120" s="43"/>
      <c r="S120" s="23"/>
      <c r="T120" s="23"/>
      <c r="U120" s="51"/>
      <c r="V120" s="23"/>
      <c r="X120" s="272"/>
      <c r="Y120" s="272"/>
      <c r="Z120" s="272"/>
      <c r="AA120" s="272"/>
      <c r="AB120" s="272"/>
      <c r="AC120" s="272"/>
    </row>
    <row r="121" spans="1:29" s="52" customFormat="1" ht="63" x14ac:dyDescent="0.25">
      <c r="A121" s="23"/>
      <c r="B121" s="50"/>
      <c r="C121" s="326"/>
      <c r="D121" s="327"/>
      <c r="E121" s="327"/>
      <c r="F121" s="125" t="str">
        <f>IF(1&lt;='Шаг 1. Основные исходные данные'!$E$5,"1 год","-")</f>
        <v>1 год</v>
      </c>
      <c r="G121" s="125" t="str">
        <f>IF(2&lt;='Шаг 1. Основные исходные данные'!$E$5,"2 год","-")</f>
        <v>2 год</v>
      </c>
      <c r="H121" s="125" t="str">
        <f>IF(3&lt;='Шаг 1. Основные исходные данные'!$E$5,"3 год","-")</f>
        <v>3 год</v>
      </c>
      <c r="I121" s="125" t="str">
        <f>IF(4&lt;='Шаг 1. Основные исходные данные'!$E$5,"4 год","-")</f>
        <v>4 год</v>
      </c>
      <c r="J121" s="125" t="str">
        <f>IF(5&lt;='Шаг 1. Основные исходные данные'!$E$5,"5 год","-")</f>
        <v>5 год</v>
      </c>
      <c r="K121" s="125" t="str">
        <f>IF(6&lt;='Шаг 1. Основные исходные данные'!$E$5,"6 год","-")</f>
        <v>6 год</v>
      </c>
      <c r="L121" s="327"/>
      <c r="M121" s="327"/>
      <c r="N121" s="125"/>
      <c r="O121" s="125"/>
      <c r="P121" s="125"/>
      <c r="Q121" s="43"/>
      <c r="R121" s="43"/>
      <c r="S121" s="23"/>
      <c r="T121" s="23"/>
      <c r="U121" s="51"/>
      <c r="V121" s="23"/>
      <c r="X121" s="279" t="s">
        <v>1221</v>
      </c>
      <c r="Y121" s="279" t="s">
        <v>1223</v>
      </c>
      <c r="Z121" s="279" t="s">
        <v>1224</v>
      </c>
      <c r="AA121" s="279" t="s">
        <v>1225</v>
      </c>
      <c r="AB121" s="279" t="s">
        <v>1226</v>
      </c>
      <c r="AC121" s="279" t="s">
        <v>1227</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194447.62497669365</v>
      </c>
      <c r="P122" s="97">
        <f>SUM(X122:AC122)</f>
        <v>0</v>
      </c>
      <c r="Q122" s="43"/>
      <c r="R122" s="43"/>
      <c r="S122" s="43"/>
      <c r="T122" s="43"/>
      <c r="U122" s="49"/>
      <c r="V122" s="43"/>
      <c r="W122" s="281"/>
      <c r="X122" s="283">
        <f>$O122*'Шаг 1. Основные исходные данные'!$E$11*(12/'Шаг 1. Основные исходные данные'!$E$10/8)*F122*$M122*$E$18*X$19</f>
        <v>0</v>
      </c>
      <c r="Y122" s="283">
        <f>IF($E122=Dict!$F$2,0,
$O122*'Шаг 1. Основные исходные данные'!$E$11*(12/'Шаг 1. Основные исходные данные'!$E$10/8)*G122*$M122*$E$18*Y$19)</f>
        <v>0</v>
      </c>
      <c r="Z122" s="283">
        <f>IF($E122=Dict!$F$2,0,
$O122*'Шаг 1. Основные исходные данные'!$E$11*(12/'Шаг 1. Основные исходные данные'!$E$10/8)*H122*$M122*$E$18*Z$19)</f>
        <v>0</v>
      </c>
      <c r="AA122" s="283">
        <f>IF($E122=Dict!$F$2,0,
$O122*'Шаг 1. Основные исходные данные'!$E$11*(12/'Шаг 1. Основные исходные данные'!$E$10/8)*I122*$M122*$E$18*AA$19)</f>
        <v>0</v>
      </c>
      <c r="AB122" s="283">
        <f>IF($E122=Dict!$F$2,0,
$O122*'Шаг 1. Основные исходные данные'!$E$11*(12/'Шаг 1. Основные исходные данные'!$E$10/8)*J122*$M122*$E$18*AB$19)</f>
        <v>0</v>
      </c>
      <c r="AC122" s="283">
        <f>IF($E122=Dict!$F$2,0,
$O122*'Шаг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194447.62497669365</v>
      </c>
      <c r="P123" s="97">
        <f>SUM(X123:AC123)</f>
        <v>0</v>
      </c>
      <c r="Q123" s="43"/>
      <c r="R123" s="43"/>
      <c r="S123" s="43"/>
      <c r="T123" s="43"/>
      <c r="U123" s="49"/>
      <c r="V123" s="43"/>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83">
        <f>IF($E123=Dict!$F$2,0,
$O123*'Шаг 1. Основные исходные данные'!$E$11*(12/'Шаг 1. Основные исходные данные'!$E$10/8)*H123*$M123*$E$18*Z$19)</f>
        <v>0</v>
      </c>
      <c r="AA123" s="283">
        <f>IF($E123=Dict!$F$2,0,
$O123*'Шаг 1. Основные исходные данные'!$E$11*(12/'Шаг 1. Основные исходные данные'!$E$10/8)*I123*$M123*$E$18*AA$19)</f>
        <v>0</v>
      </c>
      <c r="AB123" s="283">
        <f>IF($E123=Dict!$F$2,0,
$O123*'Шаг 1. Основные исходные данные'!$E$11*(12/'Шаг 1. Основные исходные данные'!$E$10/8)*J123*$M123*$E$18*AB$19)</f>
        <v>0</v>
      </c>
      <c r="AC123" s="283">
        <f>IF($E123=Dict!$F$2,0,
$O123*'Шаг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194447.62497669365</v>
      </c>
      <c r="P124" s="97">
        <f>SUM(X124:AC124)</f>
        <v>0</v>
      </c>
      <c r="Q124" s="43"/>
      <c r="R124" s="43"/>
      <c r="S124" s="43"/>
      <c r="T124" s="43"/>
      <c r="U124" s="49"/>
      <c r="V124" s="43"/>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83">
        <f>IF($E124=Dict!$F$2,0,
$O124*'Шаг 1. Основные исходные данные'!$E$11*(12/'Шаг 1. Основные исходные данные'!$E$10/8)*H124*$M124*$E$18*Z$19)</f>
        <v>0</v>
      </c>
      <c r="AA124" s="283">
        <f>IF($E124=Dict!$F$2,0,
$O124*'Шаг 1. Основные исходные данные'!$E$11*(12/'Шаг 1. Основные исходные данные'!$E$10/8)*I124*$M124*$E$18*AA$19)</f>
        <v>0</v>
      </c>
      <c r="AB124" s="283">
        <f>IF($E124=Dict!$F$2,0,
$O124*'Шаг 1. Основные исходные данные'!$E$11*(12/'Шаг 1. Основные исходные данные'!$E$10/8)*J124*$M124*$E$18*AB$19)</f>
        <v>0</v>
      </c>
      <c r="AC124" s="283">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194447.62497669365</v>
      </c>
      <c r="P125" s="97">
        <f>SUM(X125:AC125)</f>
        <v>0</v>
      </c>
      <c r="Q125" s="43"/>
      <c r="R125" s="43"/>
      <c r="S125" s="43"/>
      <c r="T125" s="43"/>
      <c r="U125" s="49"/>
      <c r="V125" s="43"/>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83">
        <f>IF($E125=Dict!$F$2,0,
$O125*'Шаг 1. Основные исходные данные'!$E$11*(12/'Шаг 1. Основные исходные данные'!$E$10/8)*H125*$M125*$E$18*Z$19)</f>
        <v>0</v>
      </c>
      <c r="AA125" s="283">
        <f>IF($E125=Dict!$F$2,0,
$O125*'Шаг 1. Основные исходные данные'!$E$11*(12/'Шаг 1. Основные исходные данные'!$E$10/8)*I125*$M125*$E$18*AA$19)</f>
        <v>0</v>
      </c>
      <c r="AB125" s="283">
        <f>IF($E125=Dict!$F$2,0,
$O125*'Шаг 1. Основные исходные данные'!$E$11*(12/'Шаг 1. Основные исходные данные'!$E$10/8)*J125*$M125*$E$18*AB$19)</f>
        <v>0</v>
      </c>
      <c r="AC125" s="283">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194447.62497669365</v>
      </c>
      <c r="P126" s="97">
        <f>SUM(X126:AC126)</f>
        <v>0</v>
      </c>
      <c r="Q126" s="43"/>
      <c r="R126" s="43"/>
      <c r="S126" s="43"/>
      <c r="T126" s="43"/>
      <c r="U126" s="49"/>
      <c r="V126" s="43"/>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83">
        <f>IF($E126=Dict!$F$2,0,
$O126*'Шаг 1. Основные исходные данные'!$E$11*(12/'Шаг 1. Основные исходные данные'!$E$10/8)*H126*$M126*$E$18*Z$19)</f>
        <v>0</v>
      </c>
      <c r="AA126" s="283">
        <f>IF($E126=Dict!$F$2,0,
$O126*'Шаг 1. Основные исходные данные'!$E$11*(12/'Шаг 1. Основные исходные данные'!$E$10/8)*I126*$M126*$E$18*AA$19)</f>
        <v>0</v>
      </c>
      <c r="AB126" s="283">
        <f>IF($E126=Dict!$F$2,0,
$O126*'Шаг 1. Основные исходные данные'!$E$11*(12/'Шаг 1. Основные исходные данные'!$E$10/8)*J126*$M126*$E$18*AB$19)</f>
        <v>0</v>
      </c>
      <c r="AC126" s="283">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90"/>
      <c r="T127" s="90"/>
      <c r="U127" s="93"/>
      <c r="V127" s="90"/>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43"/>
      <c r="T128" s="43"/>
      <c r="U128" s="49"/>
      <c r="V128" s="43"/>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43"/>
      <c r="T129" s="43"/>
      <c r="U129" s="49"/>
      <c r="V129" s="43"/>
      <c r="X129" s="271"/>
      <c r="Y129" s="271"/>
      <c r="Z129" s="271"/>
      <c r="AA129" s="271"/>
      <c r="AB129" s="271"/>
      <c r="AC129" s="271"/>
    </row>
    <row r="130" spans="1:29" s="37" customFormat="1" ht="126" x14ac:dyDescent="0.25">
      <c r="A130" s="43"/>
      <c r="B130" s="48"/>
      <c r="C130" s="125" t="s">
        <v>62</v>
      </c>
      <c r="D130" s="125" t="s">
        <v>74</v>
      </c>
      <c r="E130" s="125" t="s">
        <v>1160</v>
      </c>
      <c r="F130" s="125" t="s">
        <v>1168</v>
      </c>
      <c r="G130" s="125" t="s">
        <v>1167</v>
      </c>
      <c r="H130" s="326" t="s">
        <v>1232</v>
      </c>
      <c r="I130" s="326"/>
      <c r="J130" s="326"/>
      <c r="K130" s="326"/>
      <c r="L130" s="326"/>
      <c r="M130" s="326"/>
      <c r="N130" s="125" t="s">
        <v>1301</v>
      </c>
      <c r="O130" s="125" t="s">
        <v>1169</v>
      </c>
      <c r="P130" s="125" t="s">
        <v>1307</v>
      </c>
      <c r="Q130" s="125" t="s">
        <v>1269</v>
      </c>
      <c r="R130" s="125" t="s">
        <v>1308</v>
      </c>
      <c r="S130" s="125" t="s">
        <v>1166</v>
      </c>
      <c r="T130" s="125" t="s">
        <v>1170</v>
      </c>
      <c r="U130" s="49"/>
      <c r="V130" s="43"/>
      <c r="X130" s="271">
        <v>1</v>
      </c>
      <c r="Y130" s="271">
        <v>2</v>
      </c>
      <c r="Z130" s="271">
        <v>3</v>
      </c>
      <c r="AA130" s="271">
        <v>4</v>
      </c>
      <c r="AB130" s="271">
        <v>5</v>
      </c>
      <c r="AC130" s="271">
        <v>6</v>
      </c>
    </row>
    <row r="131" spans="1:29" s="37" customFormat="1" ht="63" x14ac:dyDescent="0.25">
      <c r="A131" s="43"/>
      <c r="B131" s="48"/>
      <c r="C131" s="125"/>
      <c r="D131" s="125"/>
      <c r="E131" s="125"/>
      <c r="F131" s="125"/>
      <c r="G131" s="125"/>
      <c r="H131" s="125" t="str">
        <f>IF(1&lt;='Шаг 1. Основные исходные данные'!$E$5,"1 год","-")</f>
        <v>1 год</v>
      </c>
      <c r="I131" s="125" t="str">
        <f>IF(2&lt;='Шаг 1. Основные исходные данные'!$E$5,"2 год","-")</f>
        <v>2 год</v>
      </c>
      <c r="J131" s="125" t="str">
        <f>IF(3&lt;='Шаг 1. Основные исходные данные'!$E$5,"3 год","-")</f>
        <v>3 год</v>
      </c>
      <c r="K131" s="125" t="str">
        <f>IF(4&lt;='Шаг 1. Основные исходные данные'!$E$5,"4 год","-")</f>
        <v>4 год</v>
      </c>
      <c r="L131" s="125" t="str">
        <f>IF(5&lt;='Шаг 1. Основные исходные данные'!$E$5,"5 год","-")</f>
        <v>5 год</v>
      </c>
      <c r="M131" s="125" t="str">
        <f>IF(6&lt;='Шаг 1. Основные исходные данные'!$E$5,"6 год","-")</f>
        <v>6 год</v>
      </c>
      <c r="N131" s="125"/>
      <c r="O131" s="125"/>
      <c r="P131" s="125"/>
      <c r="Q131" s="125"/>
      <c r="R131" s="125"/>
      <c r="S131" s="125"/>
      <c r="T131" s="125"/>
      <c r="U131" s="49"/>
      <c r="V131" s="43"/>
      <c r="X131" s="279" t="s">
        <v>1221</v>
      </c>
      <c r="Y131" s="279" t="s">
        <v>1223</v>
      </c>
      <c r="Z131" s="279" t="s">
        <v>1224</v>
      </c>
      <c r="AA131" s="279" t="s">
        <v>1225</v>
      </c>
      <c r="AB131" s="279" t="s">
        <v>1226</v>
      </c>
      <c r="AC131" s="279" t="s">
        <v>1227</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43"/>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43"/>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43"/>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43"/>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43"/>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90"/>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43"/>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C3:I3"/>
    <mergeCell ref="C5:D5"/>
    <mergeCell ref="H5:P8"/>
    <mergeCell ref="C6:D6"/>
    <mergeCell ref="C7:D7"/>
    <mergeCell ref="C8:D8"/>
    <mergeCell ref="E5:F5"/>
    <mergeCell ref="E6:F6"/>
    <mergeCell ref="E7:F7"/>
    <mergeCell ref="E8:F8"/>
    <mergeCell ref="G13:H13"/>
    <mergeCell ref="I13:M13"/>
    <mergeCell ref="G14:H14"/>
    <mergeCell ref="I14:M18"/>
    <mergeCell ref="G15:H15"/>
    <mergeCell ref="G16:H16"/>
    <mergeCell ref="G17:H17"/>
    <mergeCell ref="G18:H18"/>
    <mergeCell ref="C24:C25"/>
    <mergeCell ref="D24:D25"/>
    <mergeCell ref="E24:E25"/>
    <mergeCell ref="L24:L25"/>
    <mergeCell ref="H34:M34"/>
    <mergeCell ref="M24:M25"/>
    <mergeCell ref="F24:K24"/>
    <mergeCell ref="M48:M49"/>
    <mergeCell ref="H58:M58"/>
    <mergeCell ref="C72:C73"/>
    <mergeCell ref="D72:D73"/>
    <mergeCell ref="E72:E73"/>
    <mergeCell ref="F72:K72"/>
    <mergeCell ref="L72:L73"/>
    <mergeCell ref="M72:M73"/>
    <mergeCell ref="C48:C49"/>
    <mergeCell ref="D48:D49"/>
    <mergeCell ref="E48:E49"/>
    <mergeCell ref="F48:K48"/>
    <mergeCell ref="L48:L49"/>
    <mergeCell ref="H82:M82"/>
    <mergeCell ref="C96:C97"/>
    <mergeCell ref="D96:D97"/>
    <mergeCell ref="E96:E97"/>
    <mergeCell ref="F96:K96"/>
    <mergeCell ref="L96:L97"/>
    <mergeCell ref="M96:M97"/>
    <mergeCell ref="H130:M130"/>
    <mergeCell ref="H106:M106"/>
    <mergeCell ref="C120:C121"/>
    <mergeCell ref="D120:D121"/>
    <mergeCell ref="E120:E121"/>
    <mergeCell ref="F120:K120"/>
    <mergeCell ref="L120:L121"/>
    <mergeCell ref="M120:M121"/>
  </mergeCells>
  <hyperlinks>
    <hyperlink ref="G14" r:id="rId1"/>
  </hyperlinks>
  <pageMargins left="0.7" right="0.7" top="0.75" bottom="0.75" header="0.3" footer="0.3"/>
  <pageSetup paperSize="9" scale="17" orientation="portrait" r:id="rId2"/>
  <extLst>
    <ext xmlns:x14="http://schemas.microsoft.com/office/spreadsheetml/2009/9/main" uri="{78C0D931-6437-407d-A8EE-F0AAD7539E65}">
      <x14:conditionalFormattings>
        <x14:conditionalFormatting xmlns:xm="http://schemas.microsoft.com/office/excel/2006/main">
          <x14:cfRule type="expression" priority="36" id="{4A665901-D7A6-4BB6-BB15-193C33DB70B4}">
            <xm:f>(E36=Dict!$I$2)</xm:f>
            <x14:dxf>
              <fill>
                <patternFill patternType="lightUp">
                  <bgColor theme="2"/>
                </patternFill>
              </fill>
            </x14:dxf>
          </x14:cfRule>
          <xm:sqref>F36:F40</xm:sqref>
        </x14:conditionalFormatting>
        <x14:conditionalFormatting xmlns:xm="http://schemas.microsoft.com/office/excel/2006/main">
          <x14:cfRule type="expression" priority="19" id="{A26A48C4-3860-4F18-A662-01441F303E44}">
            <xm:f>(E60=Dict!$I$2)</xm:f>
            <x14:dxf>
              <fill>
                <patternFill patternType="lightUp">
                  <bgColor theme="2"/>
                </patternFill>
              </fill>
            </x14:dxf>
          </x14:cfRule>
          <xm:sqref>F60:F64</xm:sqref>
        </x14:conditionalFormatting>
        <x14:conditionalFormatting xmlns:xm="http://schemas.microsoft.com/office/excel/2006/main">
          <x14:cfRule type="expression" priority="15" id="{3CDEDA3F-A7D0-40BB-AB59-BD1998C67D8C}">
            <xm:f>(E84=Dict!$I$2)</xm:f>
            <x14:dxf>
              <fill>
                <patternFill patternType="lightUp">
                  <bgColor theme="2"/>
                </patternFill>
              </fill>
            </x14:dxf>
          </x14:cfRule>
          <xm:sqref>F84:F88</xm:sqref>
        </x14:conditionalFormatting>
        <x14:conditionalFormatting xmlns:xm="http://schemas.microsoft.com/office/excel/2006/main">
          <x14:cfRule type="expression" priority="11" id="{F5652ADE-EE3E-4046-B8FD-704ADF7ED21D}">
            <xm:f>(E108=Dict!$I$2)</xm:f>
            <x14:dxf>
              <fill>
                <patternFill patternType="lightUp">
                  <bgColor theme="2"/>
                </patternFill>
              </fill>
            </x14:dxf>
          </x14:cfRule>
          <xm:sqref>F108:F112</xm:sqref>
        </x14:conditionalFormatting>
        <x14:conditionalFormatting xmlns:xm="http://schemas.microsoft.com/office/excel/2006/main">
          <x14:cfRule type="expression" priority="7" id="{573A9D84-0800-40CA-B215-1B6B4F0A1B40}">
            <xm:f>(E132=Dict!$I$2)</xm:f>
            <x14:dxf>
              <fill>
                <patternFill patternType="lightUp">
                  <bgColor theme="2"/>
                </patternFill>
              </fill>
            </x14:dxf>
          </x14:cfRule>
          <xm:sqref>F132:F136</xm:sqref>
        </x14:conditionalFormatting>
        <x14:conditionalFormatting xmlns:xm="http://schemas.microsoft.com/office/excel/2006/main">
          <x14:cfRule type="expression" priority="37" id="{935E93B4-BE20-48DD-8066-EA2114DFF62A}">
            <xm:f>OR(E36=Dict!$I$3,E36=Dict!$I$4)</xm:f>
            <x14:dxf>
              <fill>
                <patternFill patternType="lightUp">
                  <bgColor theme="2"/>
                </patternFill>
              </fill>
            </x14:dxf>
          </x14:cfRule>
          <xm:sqref>G36:G40</xm:sqref>
        </x14:conditionalFormatting>
        <x14:conditionalFormatting xmlns:xm="http://schemas.microsoft.com/office/excel/2006/main">
          <x14:cfRule type="expression" priority="20" id="{D0E17FCB-77FF-48FF-B646-C20525092C8B}">
            <xm:f>OR(E60=Dict!$I$3,E60=Dict!$I$4)</xm:f>
            <x14:dxf>
              <fill>
                <patternFill patternType="lightUp">
                  <bgColor theme="2"/>
                </patternFill>
              </fill>
            </x14:dxf>
          </x14:cfRule>
          <xm:sqref>G60:G64</xm:sqref>
        </x14:conditionalFormatting>
        <x14:conditionalFormatting xmlns:xm="http://schemas.microsoft.com/office/excel/2006/main">
          <x14:cfRule type="expression" priority="16" id="{088721F8-1614-4E71-8E27-DF78F717CED3}">
            <xm:f>OR(E84=Dict!$I$3,E84=Dict!$I$4)</xm:f>
            <x14:dxf>
              <fill>
                <patternFill patternType="lightUp">
                  <bgColor theme="2"/>
                </patternFill>
              </fill>
            </x14:dxf>
          </x14:cfRule>
          <xm:sqref>G84:G88</xm:sqref>
        </x14:conditionalFormatting>
        <x14:conditionalFormatting xmlns:xm="http://schemas.microsoft.com/office/excel/2006/main">
          <x14:cfRule type="expression" priority="12" id="{56114C8D-0AE9-49F0-B331-B986CC23115F}">
            <xm:f>OR(E108=Dict!$I$3,E108=Dict!$I$4)</xm:f>
            <x14:dxf>
              <fill>
                <patternFill patternType="lightUp">
                  <bgColor theme="2"/>
                </patternFill>
              </fill>
            </x14:dxf>
          </x14:cfRule>
          <xm:sqref>G108:G112</xm:sqref>
        </x14:conditionalFormatting>
        <x14:conditionalFormatting xmlns:xm="http://schemas.microsoft.com/office/excel/2006/main">
          <x14:cfRule type="expression" priority="8" id="{100975E7-2ECD-4A64-A255-F9AB2ED8B886}">
            <xm:f>OR(E132=Dict!$I$3,E132=Dict!$I$4)</xm:f>
            <x14:dxf>
              <fill>
                <patternFill patternType="lightUp">
                  <bgColor theme="2"/>
                </patternFill>
              </fill>
            </x14:dxf>
          </x14:cfRule>
          <xm:sqref>G132:G136</xm:sqref>
        </x14:conditionalFormatting>
        <x14:conditionalFormatting xmlns:xm="http://schemas.microsoft.com/office/excel/2006/main">
          <x14:cfRule type="expression" priority="22" id="{0394292F-DF52-4B15-A8C5-8D6CB7C2D865}">
            <xm:f>OR($E26=Dict!$F$2,G$25="-")</xm:f>
            <x14:dxf>
              <fill>
                <patternFill patternType="lightUp"/>
              </fill>
            </x14:dxf>
          </x14:cfRule>
          <xm:sqref>G26:K30</xm:sqref>
        </x14:conditionalFormatting>
        <x14:conditionalFormatting xmlns:xm="http://schemas.microsoft.com/office/excel/2006/main">
          <x14:cfRule type="expression" priority="18" id="{63369B46-9970-4AA8-8CCF-4E1C50DA72EC}">
            <xm:f>OR($E50=Dict!$F$2,G$25="-")</xm:f>
            <x14:dxf>
              <fill>
                <patternFill patternType="lightUp"/>
              </fill>
            </x14:dxf>
          </x14:cfRule>
          <xm:sqref>G50:K54</xm:sqref>
        </x14:conditionalFormatting>
        <x14:conditionalFormatting xmlns:xm="http://schemas.microsoft.com/office/excel/2006/main">
          <x14:cfRule type="expression" priority="14" id="{E74492A8-CE03-40EC-A92E-C02DC03417B4}">
            <xm:f>OR($E74=Dict!$F$2,G$25="-")</xm:f>
            <x14:dxf>
              <fill>
                <patternFill patternType="lightUp"/>
              </fill>
            </x14:dxf>
          </x14:cfRule>
          <xm:sqref>G74:K78</xm:sqref>
        </x14:conditionalFormatting>
        <x14:conditionalFormatting xmlns:xm="http://schemas.microsoft.com/office/excel/2006/main">
          <x14:cfRule type="expression" priority="10" id="{6283A796-01F4-4C77-BC2A-AAAB919FFAF8}">
            <xm:f>OR($E98=Dict!$F$2,G$25="-")</xm:f>
            <x14:dxf>
              <fill>
                <patternFill patternType="lightUp"/>
              </fill>
            </x14:dxf>
          </x14:cfRule>
          <xm:sqref>G98:K102</xm:sqref>
        </x14:conditionalFormatting>
        <x14:conditionalFormatting xmlns:xm="http://schemas.microsoft.com/office/excel/2006/main">
          <x14:cfRule type="expression" priority="6" id="{F7194BED-14BD-4D2D-9986-A8C61F0A02AF}">
            <xm:f>OR($E122=Dict!$F$2,G$25="-")</xm:f>
            <x14:dxf>
              <fill>
                <patternFill patternType="lightUp"/>
              </fill>
            </x14:dxf>
          </x14:cfRule>
          <xm:sqref>G122:K126</xm:sqref>
        </x14:conditionalFormatting>
        <x14:conditionalFormatting xmlns:xm="http://schemas.microsoft.com/office/excel/2006/main">
          <x14:cfRule type="expression" priority="54" id="{8F78D6B4-AF90-467F-A4E1-E5EE878759B5}">
            <xm:f>OR($E36=Dict!$I$2,$F36=Dict!$J$2,H$35="-")</xm:f>
            <x14:dxf>
              <fill>
                <patternFill patternType="lightUp">
                  <bgColor theme="2"/>
                </patternFill>
              </fill>
            </x14:dxf>
          </x14:cfRule>
          <xm:sqref>H36:M40</xm:sqref>
        </x14:conditionalFormatting>
        <x14:conditionalFormatting xmlns:xm="http://schemas.microsoft.com/office/excel/2006/main">
          <x14:cfRule type="expression" priority="21" id="{418C475A-E43A-457D-9A83-883047B8D926}">
            <xm:f>OR($E60=Dict!$I$2,$F60=Dict!$J$2,H$35="-")</xm:f>
            <x14:dxf>
              <fill>
                <patternFill patternType="lightUp">
                  <bgColor theme="2"/>
                </patternFill>
              </fill>
            </x14:dxf>
          </x14:cfRule>
          <xm:sqref>H60:M64</xm:sqref>
        </x14:conditionalFormatting>
        <x14:conditionalFormatting xmlns:xm="http://schemas.microsoft.com/office/excel/2006/main">
          <x14:cfRule type="expression" priority="17" id="{85A08763-79C1-4611-B0BD-83816F3DAAE8}">
            <xm:f>OR($E84=Dict!$I$2,$F84=Dict!$J$2,H$35="-")</xm:f>
            <x14:dxf>
              <fill>
                <patternFill patternType="lightUp">
                  <bgColor theme="2"/>
                </patternFill>
              </fill>
            </x14:dxf>
          </x14:cfRule>
          <xm:sqref>H84:M88</xm:sqref>
        </x14:conditionalFormatting>
        <x14:conditionalFormatting xmlns:xm="http://schemas.microsoft.com/office/excel/2006/main">
          <x14:cfRule type="expression" priority="13" id="{91EB4C48-D4C8-40BC-BD47-638E2B2B7557}">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9" id="{9F50BA37-45E9-4CDD-8DAE-02A07D5B536D}">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Dict!$J$2:$J$3</xm:f>
          </x14:formula1>
          <xm:sqref>F36:F40 F60:F64 F84:F88 F108:F112 F132:F136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Dict!$F$2:$F$3</xm:f>
          </x14:formula1>
          <xm:sqref>E26:E30 E50:E54 E74:E78 E98:E102 E122:E126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C139"/>
  <sheetViews>
    <sheetView zoomScale="50" zoomScaleNormal="50" workbookViewId="0">
      <selection activeCell="Q17" sqref="Q17"/>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2.7109375" customWidth="1"/>
    <col min="17" max="17" width="19.5703125" customWidth="1"/>
    <col min="18" max="18" width="22.42578125" customWidth="1"/>
    <col min="19" max="19" width="18.7109375" customWidth="1"/>
    <col min="20" max="20" width="20.7109375" customWidth="1"/>
    <col min="21" max="22" width="5.7109375" customWidth="1"/>
    <col min="23" max="23" width="5.140625" customWidth="1"/>
    <col min="24" max="24" width="26" style="270" hidden="1" customWidth="1"/>
    <col min="25" max="25" width="31.42578125" style="270" hidden="1" customWidth="1"/>
    <col min="26" max="26" width="31.140625" style="270" hidden="1" customWidth="1"/>
    <col min="27" max="27" width="30.5703125" style="270" hidden="1" customWidth="1"/>
    <col min="28" max="28" width="26.7109375" style="270" hidden="1" customWidth="1"/>
    <col min="29" max="29" width="32.7109375" style="270" hidden="1" customWidth="1"/>
    <col min="31" max="32" width="9.140625"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101</v>
      </c>
      <c r="D2" s="12"/>
      <c r="E2" s="12"/>
      <c r="F2" s="12"/>
      <c r="G2" s="12"/>
      <c r="H2" s="12"/>
      <c r="I2" s="12"/>
      <c r="J2" s="12"/>
      <c r="K2" s="12"/>
      <c r="L2" s="12"/>
      <c r="M2" s="12"/>
      <c r="N2" s="12"/>
      <c r="O2" s="12"/>
      <c r="P2" s="12"/>
      <c r="Q2" s="12"/>
      <c r="R2" s="12"/>
      <c r="S2" s="12"/>
      <c r="T2" s="12"/>
      <c r="U2" s="12"/>
      <c r="V2" s="12"/>
    </row>
    <row r="3" spans="1:29" ht="90" customHeight="1" x14ac:dyDescent="0.25">
      <c r="A3" s="12"/>
      <c r="B3" s="12"/>
      <c r="C3" s="341" t="s">
        <v>1235</v>
      </c>
      <c r="D3" s="341"/>
      <c r="E3" s="341"/>
      <c r="F3" s="341"/>
      <c r="G3" s="341"/>
      <c r="H3" s="341"/>
      <c r="I3" s="341"/>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42" t="s">
        <v>54</v>
      </c>
      <c r="D5" s="342"/>
      <c r="E5" s="345" t="s">
        <v>1171</v>
      </c>
      <c r="F5" s="345"/>
      <c r="G5" s="43"/>
      <c r="H5" s="343" t="s">
        <v>1313</v>
      </c>
      <c r="I5" s="343"/>
      <c r="J5" s="343"/>
      <c r="K5" s="343"/>
      <c r="L5" s="343"/>
      <c r="M5" s="343"/>
      <c r="N5" s="343"/>
      <c r="O5" s="343"/>
      <c r="P5" s="343"/>
      <c r="Q5" s="43"/>
      <c r="R5" s="43"/>
      <c r="S5" s="43"/>
      <c r="T5" s="43"/>
      <c r="U5" s="43"/>
      <c r="V5" s="43"/>
      <c r="X5" s="280" t="s">
        <v>95</v>
      </c>
      <c r="Y5" s="271"/>
      <c r="Z5" s="271"/>
      <c r="AA5" s="271"/>
      <c r="AB5" s="271"/>
      <c r="AC5" s="271"/>
    </row>
    <row r="6" spans="1:29" s="37" customFormat="1" ht="19.899999999999999" customHeight="1" x14ac:dyDescent="0.25">
      <c r="A6" s="43"/>
      <c r="B6" s="43"/>
      <c r="C6" s="344" t="s">
        <v>11</v>
      </c>
      <c r="D6" s="344"/>
      <c r="E6" s="346">
        <f>SUM(X9:AC9)</f>
        <v>0</v>
      </c>
      <c r="F6" s="346"/>
      <c r="G6" s="43"/>
      <c r="H6" s="343"/>
      <c r="I6" s="343"/>
      <c r="J6" s="343"/>
      <c r="K6" s="343"/>
      <c r="L6" s="343"/>
      <c r="M6" s="343"/>
      <c r="N6" s="343"/>
      <c r="O6" s="343"/>
      <c r="P6" s="343"/>
      <c r="Q6" s="43"/>
      <c r="R6" s="43"/>
      <c r="S6" s="43"/>
      <c r="T6" s="43"/>
      <c r="U6" s="43"/>
      <c r="V6" s="43"/>
      <c r="X6" s="273"/>
      <c r="Y6" s="273" t="s">
        <v>1234</v>
      </c>
      <c r="Z6" s="273"/>
      <c r="AA6" s="273"/>
      <c r="AB6" s="273"/>
      <c r="AC6" s="273"/>
    </row>
    <row r="7" spans="1:29" s="37" customFormat="1" ht="19.899999999999999" customHeight="1" x14ac:dyDescent="0.25">
      <c r="A7" s="43"/>
      <c r="B7" s="43"/>
      <c r="C7" s="344" t="s">
        <v>12</v>
      </c>
      <c r="D7" s="344"/>
      <c r="E7" s="346">
        <f>SUM(X10:AC10)</f>
        <v>0</v>
      </c>
      <c r="F7" s="346"/>
      <c r="G7" s="43"/>
      <c r="H7" s="343"/>
      <c r="I7" s="343"/>
      <c r="J7" s="343"/>
      <c r="K7" s="343"/>
      <c r="L7" s="343"/>
      <c r="M7" s="343"/>
      <c r="N7" s="343"/>
      <c r="O7" s="343"/>
      <c r="P7" s="343"/>
      <c r="Q7" s="43"/>
      <c r="R7" s="43"/>
      <c r="S7" s="43"/>
      <c r="T7" s="43"/>
      <c r="U7" s="43"/>
      <c r="V7" s="43"/>
      <c r="X7" s="273"/>
      <c r="Y7" s="273" t="s">
        <v>2</v>
      </c>
      <c r="Z7" s="273"/>
      <c r="AA7" s="273"/>
      <c r="AB7" s="273"/>
      <c r="AC7" s="273"/>
    </row>
    <row r="8" spans="1:29" s="37" customFormat="1" ht="19.899999999999999" customHeight="1" x14ac:dyDescent="0.25">
      <c r="A8" s="43"/>
      <c r="B8" s="43"/>
      <c r="C8" s="342" t="s">
        <v>10</v>
      </c>
      <c r="D8" s="342"/>
      <c r="E8" s="347">
        <f>SUM(E6:E7)</f>
        <v>0</v>
      </c>
      <c r="F8" s="347"/>
      <c r="G8" s="43"/>
      <c r="H8" s="343"/>
      <c r="I8" s="343"/>
      <c r="J8" s="343"/>
      <c r="K8" s="343"/>
      <c r="L8" s="343"/>
      <c r="M8" s="343"/>
      <c r="N8" s="343"/>
      <c r="O8" s="343"/>
      <c r="P8" s="343"/>
      <c r="Q8" s="43"/>
      <c r="R8" s="43"/>
      <c r="S8" s="43"/>
      <c r="T8" s="43"/>
      <c r="U8" s="43"/>
      <c r="V8" s="43"/>
      <c r="X8" s="279" t="s">
        <v>1221</v>
      </c>
      <c r="Y8" s="279" t="s">
        <v>1223</v>
      </c>
      <c r="Z8" s="279" t="s">
        <v>1224</v>
      </c>
      <c r="AA8" s="279" t="s">
        <v>1225</v>
      </c>
      <c r="AB8" s="279" t="s">
        <v>1226</v>
      </c>
      <c r="AC8" s="279" t="s">
        <v>1227</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0</v>
      </c>
      <c r="Y9" s="277">
        <f t="shared" si="0"/>
        <v>0</v>
      </c>
      <c r="Z9" s="277">
        <f t="shared" si="0"/>
        <v>0</v>
      </c>
      <c r="AA9" s="277">
        <f t="shared" si="0"/>
        <v>0</v>
      </c>
      <c r="AB9" s="277">
        <f t="shared" si="0"/>
        <v>0</v>
      </c>
      <c r="AC9" s="277">
        <f t="shared" si="0"/>
        <v>0</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1182</v>
      </c>
      <c r="D11" s="36"/>
      <c r="E11" s="36"/>
      <c r="F11" s="36"/>
      <c r="G11" s="36"/>
      <c r="H11" s="36"/>
      <c r="I11" s="36"/>
      <c r="J11" s="36"/>
      <c r="K11" s="36"/>
      <c r="L11" s="36"/>
      <c r="M11" s="36"/>
      <c r="N11" s="36"/>
      <c r="O11" s="36"/>
      <c r="P11" s="36"/>
      <c r="Q11" s="36"/>
      <c r="R11" s="43"/>
      <c r="S11" s="43"/>
      <c r="T11" s="43"/>
      <c r="U11" s="43"/>
      <c r="V11" s="43"/>
      <c r="X11" s="278">
        <f t="shared" ref="X11:AC11" si="2">SUM(X9:X10)</f>
        <v>0</v>
      </c>
      <c r="Y11" s="278">
        <f t="shared" si="2"/>
        <v>0</v>
      </c>
      <c r="Z11" s="278">
        <f t="shared" si="2"/>
        <v>0</v>
      </c>
      <c r="AA11" s="278">
        <f t="shared" si="2"/>
        <v>0</v>
      </c>
      <c r="AB11" s="278">
        <f t="shared" si="2"/>
        <v>0</v>
      </c>
      <c r="AC11" s="278">
        <f t="shared" si="2"/>
        <v>0</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99" customHeight="1" x14ac:dyDescent="0.25">
      <c r="A13" s="43"/>
      <c r="B13" s="43"/>
      <c r="C13" s="125" t="s">
        <v>62</v>
      </c>
      <c r="D13" s="125" t="s">
        <v>55</v>
      </c>
      <c r="E13" s="125" t="s">
        <v>13</v>
      </c>
      <c r="F13" s="125" t="s">
        <v>8</v>
      </c>
      <c r="G13" s="326" t="s">
        <v>1299</v>
      </c>
      <c r="H13" s="326"/>
      <c r="I13" s="328" t="s">
        <v>15</v>
      </c>
      <c r="J13" s="328"/>
      <c r="K13" s="328"/>
      <c r="L13" s="328"/>
      <c r="M13" s="328"/>
      <c r="N13" s="36"/>
      <c r="O13" s="36"/>
      <c r="P13" s="36"/>
      <c r="Q13" s="43"/>
      <c r="R13" s="43"/>
      <c r="S13" s="43"/>
      <c r="T13" s="43"/>
      <c r="U13" s="43"/>
      <c r="V13" s="43"/>
      <c r="X13" s="280" t="s">
        <v>1228</v>
      </c>
      <c r="Y13" s="271"/>
      <c r="Z13" s="271"/>
      <c r="AA13" s="271"/>
      <c r="AB13" s="271"/>
      <c r="AC13" s="271"/>
    </row>
    <row r="14" spans="1:29" s="226" customFormat="1" ht="78.75" customHeight="1" x14ac:dyDescent="0.25">
      <c r="A14" s="224"/>
      <c r="B14" s="224"/>
      <c r="C14" s="225" t="str">
        <f>IF(LEN(D14)&gt;0,1,"")</f>
        <v/>
      </c>
      <c r="D14" s="31"/>
      <c r="E14" s="227"/>
      <c r="F14" s="97" t="s">
        <v>57</v>
      </c>
      <c r="G14" s="329"/>
      <c r="H14" s="330"/>
      <c r="I14" s="331"/>
      <c r="J14" s="332"/>
      <c r="K14" s="332"/>
      <c r="L14" s="332"/>
      <c r="M14" s="333"/>
      <c r="N14" s="36"/>
      <c r="O14" s="36"/>
      <c r="P14" s="36"/>
      <c r="Q14" s="224"/>
      <c r="R14" s="224"/>
      <c r="S14" s="224"/>
      <c r="T14" s="224"/>
      <c r="U14" s="224"/>
      <c r="V14" s="224"/>
      <c r="X14" s="271"/>
      <c r="Y14" s="271" t="s">
        <v>1229</v>
      </c>
      <c r="Z14" s="271"/>
      <c r="AA14" s="271"/>
      <c r="AB14" s="271"/>
      <c r="AC14" s="271"/>
    </row>
    <row r="15" spans="1:29" s="226" customFormat="1" ht="15.75" x14ac:dyDescent="0.25">
      <c r="A15" s="224"/>
      <c r="B15" s="224"/>
      <c r="C15" s="225" t="str">
        <f>IF(LEN(D15)&gt;0,C14+1,"")</f>
        <v/>
      </c>
      <c r="D15" s="31"/>
      <c r="E15" s="227"/>
      <c r="F15" s="97" t="s">
        <v>57</v>
      </c>
      <c r="G15" s="330"/>
      <c r="H15" s="330"/>
      <c r="I15" s="334"/>
      <c r="J15" s="335"/>
      <c r="K15" s="335"/>
      <c r="L15" s="335"/>
      <c r="M15" s="336"/>
      <c r="N15" s="36"/>
      <c r="O15" s="36"/>
      <c r="P15" s="36"/>
      <c r="Q15" s="224"/>
      <c r="R15" s="224"/>
      <c r="S15" s="224"/>
      <c r="T15" s="224"/>
      <c r="U15" s="224"/>
      <c r="V15" s="224"/>
      <c r="X15" s="271"/>
      <c r="Y15" s="271" t="s">
        <v>1230</v>
      </c>
      <c r="Z15" s="271"/>
      <c r="AA15" s="271"/>
      <c r="AB15" s="271"/>
      <c r="AC15" s="271"/>
    </row>
    <row r="16" spans="1:29" s="37" customFormat="1" ht="15.75" x14ac:dyDescent="0.25">
      <c r="A16" s="43"/>
      <c r="B16" s="43"/>
      <c r="C16" s="222" t="str">
        <f>IF(LEN(D16)&gt;0,C15+1,"")</f>
        <v/>
      </c>
      <c r="D16" s="31"/>
      <c r="E16" s="227"/>
      <c r="F16" s="97" t="s">
        <v>57</v>
      </c>
      <c r="G16" s="340"/>
      <c r="H16" s="340"/>
      <c r="I16" s="334"/>
      <c r="J16" s="335"/>
      <c r="K16" s="335"/>
      <c r="L16" s="335"/>
      <c r="M16" s="336"/>
      <c r="N16" s="36"/>
      <c r="O16" s="36"/>
      <c r="P16" s="36"/>
      <c r="Q16" s="43"/>
      <c r="R16" s="43"/>
      <c r="S16" s="43"/>
      <c r="T16" s="43"/>
      <c r="U16" s="43"/>
      <c r="V16" s="43"/>
      <c r="X16" s="279" t="s">
        <v>1221</v>
      </c>
      <c r="Y16" s="279" t="s">
        <v>1223</v>
      </c>
      <c r="Z16" s="279" t="s">
        <v>1224</v>
      </c>
      <c r="AA16" s="279" t="s">
        <v>1225</v>
      </c>
      <c r="AB16" s="279" t="s">
        <v>1226</v>
      </c>
      <c r="AC16" s="279" t="s">
        <v>1227</v>
      </c>
    </row>
    <row r="17" spans="1:29" s="37" customFormat="1" ht="15.75" x14ac:dyDescent="0.25">
      <c r="A17" s="43"/>
      <c r="B17" s="43"/>
      <c r="C17" s="222" t="str">
        <f>IF(LEN(D17)&gt;0,C16+1,"")</f>
        <v/>
      </c>
      <c r="D17" s="31"/>
      <c r="E17" s="229"/>
      <c r="F17" s="97" t="s">
        <v>57</v>
      </c>
      <c r="G17" s="340"/>
      <c r="H17" s="340"/>
      <c r="I17" s="334"/>
      <c r="J17" s="335"/>
      <c r="K17" s="335"/>
      <c r="L17" s="335"/>
      <c r="M17" s="336"/>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40"/>
      <c r="H18" s="340"/>
      <c r="I18" s="337"/>
      <c r="J18" s="338"/>
      <c r="K18" s="338"/>
      <c r="L18" s="338"/>
      <c r="M18" s="339"/>
      <c r="N18" s="36"/>
      <c r="O18" s="36"/>
      <c r="P18" s="36"/>
      <c r="Q18" s="43"/>
      <c r="R18" s="43"/>
      <c r="S18" s="43"/>
      <c r="T18" s="43"/>
      <c r="U18" s="43"/>
      <c r="V18" s="43"/>
      <c r="X18" s="271">
        <v>1</v>
      </c>
      <c r="Y18" s="271">
        <f>IF(Y$17=0,0,(1+'Шаг 1. Основные исходные данные'!$E$12/100))</f>
        <v>1.04457</v>
      </c>
      <c r="Z18" s="271">
        <f>IF(Z$17=0,0,Y18*(1+'Шаг 1. Основные исходные данные'!$E$13/100))</f>
        <v>1.0866243882</v>
      </c>
      <c r="AA18" s="271">
        <f>IF(AA$17=0,0,Z18*(1+'Шаг 1. Основные исходные данные'!$E$14/100))</f>
        <v>1.1305022809955161</v>
      </c>
      <c r="AB18" s="271">
        <f>IF(AB$17=0,0,AA18*(1+'Шаг 1. Основные исходные данные'!$E$15/100))</f>
        <v>1.1761519631021151</v>
      </c>
      <c r="AC18" s="271">
        <f>IF(AC$17=0,0,AB18*(1+'Шаг 1. Основные исходные данные'!$E$16/100))</f>
        <v>1.2236449793721786</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1.1321600000000001</v>
      </c>
      <c r="Z19" s="271">
        <f>IF(Z$17=0,0,Y19*(1+'Шаг 1. Основные исходные данные'!$E$18/100))</f>
        <v>1.2478780735999999</v>
      </c>
      <c r="AA19" s="271">
        <f>IF(AA$17=0,0,Z19*(1+'Шаг 1. Основные исходные данные'!$E$19/100))</f>
        <v>1.35126477199776</v>
      </c>
      <c r="AB19" s="271">
        <f>IF(AB$17=0,0,AA19*(1+'Шаг 1. Основные исходные данные'!$E$20/100))</f>
        <v>1.4632170583577746</v>
      </c>
      <c r="AC19" s="271">
        <f>IF(AC$17=0,0,AB19*(1+'Шаг 1. Основные исходные данные'!$E$21/100))</f>
        <v>1.5844445916427163</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43"/>
      <c r="X20" s="272"/>
      <c r="Y20" s="272"/>
      <c r="Z20" s="272"/>
      <c r="AA20" s="272"/>
      <c r="AB20" s="272"/>
      <c r="AC20" s="272"/>
    </row>
    <row r="21" spans="1:29" s="37" customFormat="1" ht="15.75" x14ac:dyDescent="0.25">
      <c r="A21" s="43"/>
      <c r="B21" s="48"/>
      <c r="C21" s="36" t="str">
        <f>CONCATENATE("3.2.",$C$14,". Содержательные издержки группы объектов ",$C$14," - """,$D$14,"""")</f>
        <v>3.2.. Содержательные издержки группы объектов  - ""</v>
      </c>
      <c r="D21" s="43"/>
      <c r="E21" s="43"/>
      <c r="F21" s="43"/>
      <c r="G21" s="43"/>
      <c r="H21" s="43"/>
      <c r="I21" s="43"/>
      <c r="J21" s="43"/>
      <c r="K21" s="43"/>
      <c r="L21" s="43"/>
      <c r="M21" s="43"/>
      <c r="N21" s="43"/>
      <c r="O21" s="43"/>
      <c r="P21" s="43"/>
      <c r="Q21" s="43"/>
      <c r="R21" s="43"/>
      <c r="S21" s="43"/>
      <c r="T21" s="43"/>
      <c r="U21" s="49"/>
      <c r="V21" s="43"/>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43"/>
      <c r="T22" s="43"/>
      <c r="U22" s="49"/>
      <c r="V22" s="43"/>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43"/>
      <c r="T23" s="43"/>
      <c r="U23" s="49"/>
      <c r="V23" s="43"/>
      <c r="X23" s="272"/>
      <c r="Y23" s="272"/>
      <c r="Z23" s="272"/>
      <c r="AA23" s="272"/>
      <c r="AB23" s="272"/>
      <c r="AC23" s="272"/>
    </row>
    <row r="24" spans="1:29" s="52" customFormat="1" ht="127.5" customHeight="1" x14ac:dyDescent="0.25">
      <c r="A24" s="23"/>
      <c r="B24" s="50"/>
      <c r="C24" s="326" t="s">
        <v>62</v>
      </c>
      <c r="D24" s="326" t="s">
        <v>64</v>
      </c>
      <c r="E24" s="326" t="s">
        <v>75</v>
      </c>
      <c r="F24" s="326" t="s">
        <v>1231</v>
      </c>
      <c r="G24" s="326"/>
      <c r="H24" s="326"/>
      <c r="I24" s="326"/>
      <c r="J24" s="326"/>
      <c r="K24" s="326"/>
      <c r="L24" s="326" t="s">
        <v>1300</v>
      </c>
      <c r="M24" s="326" t="s">
        <v>1222</v>
      </c>
      <c r="N24" s="125" t="s">
        <v>1309</v>
      </c>
      <c r="O24" s="125" t="s">
        <v>79</v>
      </c>
      <c r="P24" s="125" t="s">
        <v>1159</v>
      </c>
      <c r="Q24" s="43"/>
      <c r="R24" s="43"/>
      <c r="S24" s="23"/>
      <c r="T24" s="23"/>
      <c r="U24" s="51"/>
      <c r="V24" s="23"/>
      <c r="X24" s="272"/>
      <c r="Y24" s="272"/>
      <c r="Z24" s="272"/>
      <c r="AA24" s="272"/>
      <c r="AB24" s="272"/>
      <c r="AC24" s="272"/>
    </row>
    <row r="25" spans="1:29" s="52" customFormat="1" ht="64.5" customHeight="1" x14ac:dyDescent="0.25">
      <c r="A25" s="23"/>
      <c r="B25" s="50"/>
      <c r="C25" s="326"/>
      <c r="D25" s="327"/>
      <c r="E25" s="327"/>
      <c r="F25" s="125" t="str">
        <f>IF(1&lt;='Шаг 1. Основные исходные данные'!$E$5,"1 год","-")</f>
        <v>1 год</v>
      </c>
      <c r="G25" s="125" t="str">
        <f>IF(2&lt;='Шаг 1. Основные исходные данные'!$E$5,"2 год","-")</f>
        <v>2 год</v>
      </c>
      <c r="H25" s="125" t="str">
        <f>IF(3&lt;='Шаг 1. Основные исходные данные'!$E$5,"3 год","-")</f>
        <v>3 год</v>
      </c>
      <c r="I25" s="125" t="str">
        <f>IF(4&lt;='Шаг 1. Основные исходные данные'!$E$5,"4 год","-")</f>
        <v>4 год</v>
      </c>
      <c r="J25" s="125" t="str">
        <f>IF(5&lt;='Шаг 1. Основные исходные данные'!$E$5,"5 год","-")</f>
        <v>5 год</v>
      </c>
      <c r="K25" s="125" t="str">
        <f>IF(6&lt;='Шаг 1. Основные исходные данные'!$E$5,"6 год","-")</f>
        <v>6 год</v>
      </c>
      <c r="L25" s="327"/>
      <c r="M25" s="327"/>
      <c r="N25" s="125"/>
      <c r="O25" s="125"/>
      <c r="P25" s="125"/>
      <c r="Q25" s="43"/>
      <c r="R25" s="43"/>
      <c r="S25" s="23"/>
      <c r="T25" s="23"/>
      <c r="U25" s="51"/>
      <c r="V25" s="23"/>
      <c r="X25" s="279" t="s">
        <v>1221</v>
      </c>
      <c r="Y25" s="279" t="s">
        <v>1223</v>
      </c>
      <c r="Z25" s="279" t="s">
        <v>1224</v>
      </c>
      <c r="AA25" s="279" t="s">
        <v>1225</v>
      </c>
      <c r="AB25" s="279" t="s">
        <v>1226</v>
      </c>
      <c r="AC25" s="279" t="s">
        <v>1227</v>
      </c>
    </row>
    <row r="26" spans="1:29" s="37" customFormat="1" ht="327.75" customHeight="1" x14ac:dyDescent="0.25">
      <c r="A26" s="43"/>
      <c r="B26" s="48"/>
      <c r="C26" s="89" t="str">
        <f>IF(LEN(D26)&gt;0,1,"")</f>
        <v/>
      </c>
      <c r="D26" s="31"/>
      <c r="E26" s="96"/>
      <c r="F26" s="96"/>
      <c r="G26" s="96"/>
      <c r="H26" s="96"/>
      <c r="I26" s="96"/>
      <c r="J26" s="96"/>
      <c r="K26" s="96"/>
      <c r="L26" s="318"/>
      <c r="M26" s="96"/>
      <c r="N26" s="318"/>
      <c r="O26" s="97"/>
      <c r="P26" s="97"/>
      <c r="Q26" s="43"/>
      <c r="R26" s="43"/>
      <c r="S26" s="43"/>
      <c r="T26" s="43"/>
      <c r="U26" s="49"/>
      <c r="V26" s="43"/>
      <c r="W26" s="281"/>
      <c r="X26" s="282">
        <f>$O26*'Шаг 1. Основные исходные данные'!$E$11*(12/'Шаг 1. Основные исходные данные'!$E$10/8)*F26*$M26*$E$14*X$19</f>
        <v>0</v>
      </c>
      <c r="Y26" s="282">
        <f>IF($E26=Dict!$F$2,0,
$O26*'Шаг 1. Основные исходные данные'!$E$11*(12/'Шаг 1. Основные исходные данные'!$E$10/8)*G26*$M26*$E$14*Y$19)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pans="1:29" s="37" customFormat="1" ht="15.75" x14ac:dyDescent="0.25">
      <c r="A27" s="43"/>
      <c r="B27" s="48"/>
      <c r="C27" s="89" t="str">
        <f>IF(LEN(D27)&gt;0,C26+1,"")</f>
        <v/>
      </c>
      <c r="D27" s="31"/>
      <c r="E27" s="96"/>
      <c r="F27" s="96"/>
      <c r="G27" s="96"/>
      <c r="H27" s="96"/>
      <c r="I27" s="96"/>
      <c r="J27" s="96"/>
      <c r="K27" s="96"/>
      <c r="L27" s="96"/>
      <c r="M27" s="96"/>
      <c r="N27" s="96"/>
      <c r="O27" s="97">
        <f>'Шаг 1. Основные исходные данные'!$E$8</f>
        <v>194447.62497669365</v>
      </c>
      <c r="P27" s="97">
        <f>SUM(X27:AC27)</f>
        <v>0</v>
      </c>
      <c r="Q27" s="43"/>
      <c r="R27" s="43"/>
      <c r="S27" s="43"/>
      <c r="T27" s="43"/>
      <c r="U27" s="49"/>
      <c r="V27" s="43"/>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15.75" x14ac:dyDescent="0.25">
      <c r="A28" s="43"/>
      <c r="B28" s="48"/>
      <c r="C28" s="89" t="str">
        <f>IF(LEN(D28)&gt;0,C27+1,"")</f>
        <v/>
      </c>
      <c r="D28" s="31"/>
      <c r="E28" s="96"/>
      <c r="F28" s="96"/>
      <c r="G28" s="96"/>
      <c r="H28" s="96"/>
      <c r="I28" s="96"/>
      <c r="J28" s="96"/>
      <c r="K28" s="96"/>
      <c r="L28" s="96"/>
      <c r="M28" s="96"/>
      <c r="N28" s="96"/>
      <c r="O28" s="97">
        <f>'Шаг 1. Основные исходные данные'!$E$8</f>
        <v>194447.62497669365</v>
      </c>
      <c r="P28" s="97">
        <f>SUM(X28:AC28)</f>
        <v>0</v>
      </c>
      <c r="Q28" s="43"/>
      <c r="R28" s="43"/>
      <c r="S28" s="43"/>
      <c r="T28" s="43"/>
      <c r="U28" s="49"/>
      <c r="V28" s="43"/>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194447.62497669365</v>
      </c>
      <c r="P29" s="97">
        <f>SUM(X29:AC29)</f>
        <v>0</v>
      </c>
      <c r="Q29" s="43"/>
      <c r="R29" s="43"/>
      <c r="S29" s="43"/>
      <c r="T29" s="43"/>
      <c r="U29" s="49"/>
      <c r="V29" s="43"/>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194447.62497669365</v>
      </c>
      <c r="P30" s="97">
        <f>SUM(X30:AC30)</f>
        <v>0</v>
      </c>
      <c r="Q30" s="43"/>
      <c r="R30" s="43"/>
      <c r="S30" s="43"/>
      <c r="T30" s="43"/>
      <c r="U30" s="49"/>
      <c r="V30" s="43"/>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0</v>
      </c>
      <c r="Q31" s="43"/>
      <c r="R31" s="43"/>
      <c r="S31" s="90"/>
      <c r="T31" s="90"/>
      <c r="U31" s="93"/>
      <c r="V31" s="90"/>
      <c r="X31" s="278">
        <f t="shared" ref="X31:AC31" si="3">SUM(X26:X30)</f>
        <v>0</v>
      </c>
      <c r="Y31" s="278">
        <f t="shared" si="3"/>
        <v>0</v>
      </c>
      <c r="Z31" s="278">
        <f t="shared" si="3"/>
        <v>0</v>
      </c>
      <c r="AA31" s="278">
        <f t="shared" si="3"/>
        <v>0</v>
      </c>
      <c r="AB31" s="278">
        <f t="shared" si="3"/>
        <v>0</v>
      </c>
      <c r="AC31" s="278">
        <f t="shared" si="3"/>
        <v>0</v>
      </c>
    </row>
    <row r="32" spans="1:29" s="37" customFormat="1" ht="15.75" x14ac:dyDescent="0.25">
      <c r="A32" s="43"/>
      <c r="B32" s="48"/>
      <c r="C32" s="43"/>
      <c r="D32" s="43"/>
      <c r="E32" s="43"/>
      <c r="F32" s="43"/>
      <c r="G32" s="43"/>
      <c r="H32" s="43"/>
      <c r="I32" s="43"/>
      <c r="J32" s="43"/>
      <c r="K32" s="43"/>
      <c r="L32" s="43"/>
      <c r="M32" s="43"/>
      <c r="N32" s="43"/>
      <c r="O32" s="43"/>
      <c r="P32" s="43"/>
      <c r="Q32" s="43"/>
      <c r="R32" s="43"/>
      <c r="S32" s="43"/>
      <c r="T32" s="43"/>
      <c r="U32" s="49"/>
      <c r="V32" s="43"/>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43"/>
      <c r="T33" s="43"/>
      <c r="U33" s="49"/>
      <c r="V33" s="43"/>
      <c r="X33" s="271"/>
      <c r="Y33" s="271"/>
      <c r="Z33" s="271"/>
      <c r="AA33" s="271"/>
      <c r="AB33" s="271"/>
      <c r="AC33" s="271"/>
    </row>
    <row r="34" spans="1:29" s="37" customFormat="1" ht="132" customHeight="1" x14ac:dyDescent="0.25">
      <c r="A34" s="43"/>
      <c r="B34" s="48"/>
      <c r="C34" s="125" t="s">
        <v>62</v>
      </c>
      <c r="D34" s="125" t="s">
        <v>74</v>
      </c>
      <c r="E34" s="125" t="s">
        <v>1160</v>
      </c>
      <c r="F34" s="125" t="s">
        <v>1168</v>
      </c>
      <c r="G34" s="125" t="s">
        <v>1167</v>
      </c>
      <c r="H34" s="326" t="s">
        <v>1232</v>
      </c>
      <c r="I34" s="326"/>
      <c r="J34" s="326"/>
      <c r="K34" s="326"/>
      <c r="L34" s="326"/>
      <c r="M34" s="326"/>
      <c r="N34" s="125" t="s">
        <v>1301</v>
      </c>
      <c r="O34" s="125" t="s">
        <v>1169</v>
      </c>
      <c r="P34" s="125" t="s">
        <v>1307</v>
      </c>
      <c r="Q34" s="125" t="s">
        <v>1269</v>
      </c>
      <c r="R34" s="125" t="s">
        <v>1308</v>
      </c>
      <c r="S34" s="125" t="s">
        <v>1166</v>
      </c>
      <c r="T34" s="125" t="s">
        <v>1170</v>
      </c>
      <c r="U34" s="49"/>
      <c r="V34" s="43"/>
      <c r="X34" s="271">
        <v>1</v>
      </c>
      <c r="Y34" s="271">
        <v>2</v>
      </c>
      <c r="Z34" s="271">
        <v>3</v>
      </c>
      <c r="AA34" s="271">
        <v>4</v>
      </c>
      <c r="AB34" s="271">
        <v>5</v>
      </c>
      <c r="AC34" s="271">
        <v>6</v>
      </c>
    </row>
    <row r="35" spans="1:29" s="37" customFormat="1" ht="15.75" x14ac:dyDescent="0.25">
      <c r="A35" s="43"/>
      <c r="B35" s="48"/>
      <c r="C35" s="125"/>
      <c r="D35" s="125"/>
      <c r="E35" s="125"/>
      <c r="F35" s="125"/>
      <c r="G35" s="125"/>
      <c r="H35" s="125" t="str">
        <f>IF(1&lt;='Шаг 1. Основные исходные данные'!$E$5,"1 год","-")</f>
        <v>1 год</v>
      </c>
      <c r="I35" s="125" t="str">
        <f>IF(2&lt;='Шаг 1. Основные исходные данные'!$E$5,"2 год","-")</f>
        <v>2 год</v>
      </c>
      <c r="J35" s="125" t="str">
        <f>IF(3&lt;='Шаг 1. Основные исходные данные'!$E$5,"3 год","-")</f>
        <v>3 год</v>
      </c>
      <c r="K35" s="125" t="str">
        <f>IF(4&lt;='Шаг 1. Основные исходные данные'!$E$5,"4 год","-")</f>
        <v>4 год</v>
      </c>
      <c r="L35" s="125" t="str">
        <f>IF(5&lt;='Шаг 1. Основные исходные данные'!$E$5,"5 год","-")</f>
        <v>5 год</v>
      </c>
      <c r="M35" s="125" t="str">
        <f>IF(6&lt;='Шаг 1. Основные исходные данные'!$E$5,"6 год","-")</f>
        <v>6 год</v>
      </c>
      <c r="N35" s="125"/>
      <c r="O35" s="125"/>
      <c r="P35" s="125"/>
      <c r="Q35" s="125"/>
      <c r="R35" s="125"/>
      <c r="S35" s="125"/>
      <c r="T35" s="125"/>
      <c r="U35" s="49"/>
      <c r="V35" s="43"/>
      <c r="X35" s="279" t="s">
        <v>1221</v>
      </c>
      <c r="Y35" s="279" t="s">
        <v>1223</v>
      </c>
      <c r="Z35" s="279" t="s">
        <v>1224</v>
      </c>
      <c r="AA35" s="279" t="s">
        <v>1225</v>
      </c>
      <c r="AB35" s="279" t="s">
        <v>1226</v>
      </c>
      <c r="AC35" s="279" t="s">
        <v>1227</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43"/>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43"/>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43"/>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43"/>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43"/>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90"/>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43"/>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43"/>
      <c r="U43" s="43"/>
      <c r="V43" s="43"/>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43"/>
      <c r="X44" s="272"/>
      <c r="Y44" s="272"/>
      <c r="Z44" s="272"/>
      <c r="AA44" s="272"/>
      <c r="AB44" s="272"/>
      <c r="AC44" s="272"/>
    </row>
    <row r="45" spans="1:29" s="37" customFormat="1" ht="15.75" x14ac:dyDescent="0.25">
      <c r="A45" s="43"/>
      <c r="B45" s="48"/>
      <c r="C45" s="36" t="str">
        <f>CONCATENATE("3.2.",$C$15,". Содержательные издержки группы объектов ",$C$15," - """,$D$15,"""")</f>
        <v>3.2.. Содержательные издержки группы объектов  - ""</v>
      </c>
      <c r="D45" s="43"/>
      <c r="E45" s="43"/>
      <c r="F45" s="43"/>
      <c r="G45" s="43"/>
      <c r="H45" s="43"/>
      <c r="I45" s="43"/>
      <c r="J45" s="43"/>
      <c r="K45" s="43"/>
      <c r="L45" s="43"/>
      <c r="M45" s="43"/>
      <c r="N45" s="43"/>
      <c r="O45" s="43"/>
      <c r="P45" s="43"/>
      <c r="Q45" s="43"/>
      <c r="R45" s="43"/>
      <c r="S45" s="43"/>
      <c r="T45" s="43"/>
      <c r="U45" s="49"/>
      <c r="V45" s="43"/>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43"/>
      <c r="T46" s="43"/>
      <c r="U46" s="49"/>
      <c r="V46" s="43"/>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43"/>
      <c r="T47" s="43"/>
      <c r="U47" s="49"/>
      <c r="V47" s="43"/>
      <c r="X47" s="272"/>
      <c r="Y47" s="272"/>
      <c r="Z47" s="272"/>
      <c r="AA47" s="272"/>
      <c r="AB47" s="272"/>
      <c r="AC47" s="272"/>
    </row>
    <row r="48" spans="1:29" s="52" customFormat="1" ht="127.5" customHeight="1" x14ac:dyDescent="0.25">
      <c r="A48" s="23"/>
      <c r="B48" s="50"/>
      <c r="C48" s="326" t="s">
        <v>62</v>
      </c>
      <c r="D48" s="326" t="s">
        <v>64</v>
      </c>
      <c r="E48" s="326" t="s">
        <v>75</v>
      </c>
      <c r="F48" s="326" t="s">
        <v>1231</v>
      </c>
      <c r="G48" s="326"/>
      <c r="H48" s="326"/>
      <c r="I48" s="326"/>
      <c r="J48" s="326"/>
      <c r="K48" s="326"/>
      <c r="L48" s="326" t="s">
        <v>1300</v>
      </c>
      <c r="M48" s="326" t="s">
        <v>1222</v>
      </c>
      <c r="N48" s="125" t="s">
        <v>1309</v>
      </c>
      <c r="O48" s="125" t="s">
        <v>79</v>
      </c>
      <c r="P48" s="125" t="s">
        <v>1159</v>
      </c>
      <c r="Q48" s="43"/>
      <c r="R48" s="43"/>
      <c r="S48" s="23"/>
      <c r="T48" s="23"/>
      <c r="U48" s="51"/>
      <c r="V48" s="23"/>
      <c r="X48" s="272"/>
      <c r="Y48" s="272"/>
      <c r="Z48" s="272"/>
      <c r="AA48" s="272"/>
      <c r="AB48" s="272"/>
      <c r="AC48" s="272"/>
    </row>
    <row r="49" spans="1:29" s="52" customFormat="1" ht="15.75" x14ac:dyDescent="0.25">
      <c r="A49" s="23"/>
      <c r="B49" s="50"/>
      <c r="C49" s="326"/>
      <c r="D49" s="327"/>
      <c r="E49" s="327"/>
      <c r="F49" s="125" t="str">
        <f>IF(1&lt;='Шаг 1. Основные исходные данные'!$E$5,"1 год","-")</f>
        <v>1 год</v>
      </c>
      <c r="G49" s="125" t="str">
        <f>IF(2&lt;='Шаг 1. Основные исходные данные'!$E$5,"2 год","-")</f>
        <v>2 год</v>
      </c>
      <c r="H49" s="125" t="str">
        <f>IF(3&lt;='Шаг 1. Основные исходные данные'!$E$5,"3 год","-")</f>
        <v>3 год</v>
      </c>
      <c r="I49" s="125" t="str">
        <f>IF(4&lt;='Шаг 1. Основные исходные данные'!$E$5,"4 год","-")</f>
        <v>4 год</v>
      </c>
      <c r="J49" s="125" t="str">
        <f>IF(5&lt;='Шаг 1. Основные исходные данные'!$E$5,"5 год","-")</f>
        <v>5 год</v>
      </c>
      <c r="K49" s="125" t="str">
        <f>IF(6&lt;='Шаг 1. Основные исходные данные'!$E$5,"6 год","-")</f>
        <v>6 год</v>
      </c>
      <c r="L49" s="327"/>
      <c r="M49" s="327"/>
      <c r="N49" s="125"/>
      <c r="O49" s="125"/>
      <c r="P49" s="125"/>
      <c r="Q49" s="43"/>
      <c r="R49" s="43"/>
      <c r="S49" s="23"/>
      <c r="T49" s="23"/>
      <c r="U49" s="51"/>
      <c r="V49" s="23"/>
      <c r="X49" s="279" t="s">
        <v>1221</v>
      </c>
      <c r="Y49" s="279" t="s">
        <v>1223</v>
      </c>
      <c r="Z49" s="279" t="s">
        <v>1224</v>
      </c>
      <c r="AA49" s="279" t="s">
        <v>1225</v>
      </c>
      <c r="AB49" s="279" t="s">
        <v>1226</v>
      </c>
      <c r="AC49" s="279" t="s">
        <v>1227</v>
      </c>
    </row>
    <row r="50" spans="1:29" s="37" customFormat="1" ht="15.75" x14ac:dyDescent="0.25">
      <c r="A50" s="43"/>
      <c r="B50" s="48"/>
      <c r="C50" s="89" t="str">
        <f>IF(LEN(D50)&gt;0,1,"")</f>
        <v/>
      </c>
      <c r="D50" s="31"/>
      <c r="E50" s="96"/>
      <c r="F50" s="96"/>
      <c r="G50" s="96"/>
      <c r="H50" s="96"/>
      <c r="I50" s="96"/>
      <c r="J50" s="96"/>
      <c r="K50" s="96"/>
      <c r="L50" s="96"/>
      <c r="M50" s="96"/>
      <c r="N50" s="96"/>
      <c r="O50" s="97">
        <f>'Шаг 1. Основные исходные данные'!$E$8</f>
        <v>194447.62497669365</v>
      </c>
      <c r="P50" s="97">
        <f>SUM(X50:AC50)</f>
        <v>0</v>
      </c>
      <c r="Q50" s="43"/>
      <c r="R50" s="43"/>
      <c r="S50" s="43"/>
      <c r="T50" s="43"/>
      <c r="U50" s="49"/>
      <c r="V50" s="43"/>
      <c r="W50" s="281"/>
      <c r="X50" s="282">
        <f>$O50*'Шаг 1. Основные исходные данные'!$E$11*(12/'Шаг 1. Основные исходные данные'!$E$10/8)*F50*$M50*$E$15*X$19</f>
        <v>0</v>
      </c>
      <c r="Y50" s="282">
        <f>IF($E50=Dict!$F$2,0,
$O50*'Шаг 1. Основные исходные данные'!$E$11*(12/'Шаг 1. Основные исходные данные'!$E$10/8)*G50*$M50*$E$15*Y$19)</f>
        <v>0</v>
      </c>
      <c r="Z50" s="277">
        <f>IF($E50=Dict!$F$2,0,
$O50*'Шаг 1. Основные исходные данные'!$E$11*(12/'Шаг 1. Основные исходные данные'!$E$10/8)*H50*$M50*$E$15*Z$19)</f>
        <v>0</v>
      </c>
      <c r="AA50" s="277">
        <f>IF($E50=Dict!$F$2,0,
$O50*'Шаг 1. Основные исходные данные'!$E$11*(12/'Шаг 1. Основные исходные данные'!$E$10/8)*I50*$M50*$E$15*AA$19)</f>
        <v>0</v>
      </c>
      <c r="AB50" s="277">
        <f>IF($E50=Dict!$F$2,0,
$O50*'Шаг 1. Основные исходные данные'!$E$11*(12/'Шаг 1. Основные исходные данные'!$E$10/8)*J50*$M50*$E$15*AB$19)</f>
        <v>0</v>
      </c>
      <c r="AC50" s="277">
        <f>IF($E50=Dict!$F$2,0,
$O50*'Шаг 1. Основные исходные данные'!$E$11*(12/'Шаг 1. Основные исходные данные'!$E$10/8)*K50*$M50*$E$15*AC$19)</f>
        <v>0</v>
      </c>
    </row>
    <row r="51" spans="1:29" s="37" customFormat="1" ht="15.75" x14ac:dyDescent="0.25">
      <c r="A51" s="43"/>
      <c r="B51" s="48"/>
      <c r="C51" s="89" t="str">
        <f>IF(LEN(D51)&gt;0,C50+1,"")</f>
        <v/>
      </c>
      <c r="D51" s="31"/>
      <c r="E51" s="96"/>
      <c r="F51" s="96"/>
      <c r="G51" s="96"/>
      <c r="H51" s="96"/>
      <c r="I51" s="96"/>
      <c r="J51" s="96"/>
      <c r="K51" s="96"/>
      <c r="L51" s="96"/>
      <c r="M51" s="96"/>
      <c r="N51" s="96"/>
      <c r="O51" s="97">
        <f>'Шаг 1. Основные исходные данные'!$E$8</f>
        <v>194447.62497669365</v>
      </c>
      <c r="P51" s="97">
        <f>SUM(X51:AC51)</f>
        <v>0</v>
      </c>
      <c r="Q51" s="43"/>
      <c r="R51" s="43"/>
      <c r="S51" s="43"/>
      <c r="T51" s="43"/>
      <c r="U51" s="49"/>
      <c r="V51" s="43"/>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77">
        <f>IF($E51=Dict!$F$2,0,
$O51*'Шаг 1. Основные исходные данные'!$E$11*(12/'Шаг 1. Основные исходные данные'!$E$10/8)*H51*$M51*$E$15*Z$19)</f>
        <v>0</v>
      </c>
      <c r="AA51" s="277">
        <f>IF($E51=Dict!$F$2,0,
$O51*'Шаг 1. Основные исходные данные'!$E$11*(12/'Шаг 1. Основные исходные данные'!$E$10/8)*I51*$M51*$E$15*AA$19)</f>
        <v>0</v>
      </c>
      <c r="AB51" s="277">
        <f>IF($E51=Dict!$F$2,0,
$O51*'Шаг 1. Основные исходные данные'!$E$11*(12/'Шаг 1. Основные исходные данные'!$E$10/8)*J51*$M51*$E$15*AB$19)</f>
        <v>0</v>
      </c>
      <c r="AC51" s="277">
        <f>IF($E51=Dict!$F$2,0,
$O51*'Шаг 1. Основные исходные данные'!$E$11*(12/'Шаг 1. Основные исходные данные'!$E$10/8)*K51*$M51*$E$15*AC$19)</f>
        <v>0</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194447.62497669365</v>
      </c>
      <c r="P52" s="97">
        <f>SUM(X52:AC52)</f>
        <v>0</v>
      </c>
      <c r="Q52" s="43"/>
      <c r="R52" s="43"/>
      <c r="S52" s="43"/>
      <c r="T52" s="43"/>
      <c r="U52" s="49"/>
      <c r="V52" s="43"/>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77">
        <f>IF($E52=Dict!$F$2,0,
$O52*'Шаг 1. Основные исходные данные'!$E$11*(12/'Шаг 1. Основные исходные данные'!$E$10/8)*H52*$M52*$E$15*Z$19)</f>
        <v>0</v>
      </c>
      <c r="AA52" s="277">
        <f>IF($E52=Dict!$F$2,0,
$O52*'Шаг 1. Основные исходные данные'!$E$11*(12/'Шаг 1. Основные исходные данные'!$E$10/8)*I52*$M52*$E$15*AA$19)</f>
        <v>0</v>
      </c>
      <c r="AB52" s="277">
        <f>IF($E52=Dict!$F$2,0,
$O52*'Шаг 1. Основные исходные данные'!$E$11*(12/'Шаг 1. Основные исходные данные'!$E$10/8)*J52*$M52*$E$15*AB$19)</f>
        <v>0</v>
      </c>
      <c r="AC52" s="277">
        <f>IF($E52=Dict!$F$2,0,
$O52*'Шаг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194447.62497669365</v>
      </c>
      <c r="P53" s="97">
        <f>SUM(X53:AC53)</f>
        <v>0</v>
      </c>
      <c r="Q53" s="43"/>
      <c r="R53" s="43"/>
      <c r="S53" s="43"/>
      <c r="T53" s="43"/>
      <c r="U53" s="49"/>
      <c r="V53" s="43"/>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77">
        <f>IF($E53=Dict!$F$2,0,
$O53*'Шаг 1. Основные исходные данные'!$E$11*(12/'Шаг 1. Основные исходные данные'!$E$10/8)*H53*$M53*$E$15*Z$19)</f>
        <v>0</v>
      </c>
      <c r="AA53" s="277">
        <f>IF($E53=Dict!$F$2,0,
$O53*'Шаг 1. Основные исходные данные'!$E$11*(12/'Шаг 1. Основные исходные данные'!$E$10/8)*I53*$M53*$E$15*AA$19)</f>
        <v>0</v>
      </c>
      <c r="AB53" s="277">
        <f>IF($E53=Dict!$F$2,0,
$O53*'Шаг 1. Основные исходные данные'!$E$11*(12/'Шаг 1. Основные исходные данные'!$E$10/8)*J53*$M53*$E$15*AB$19)</f>
        <v>0</v>
      </c>
      <c r="AC53" s="277">
        <f>IF($E53=Dict!$F$2,0,
$O53*'Шаг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194447.62497669365</v>
      </c>
      <c r="P54" s="97">
        <f>SUM(X54:AC54)</f>
        <v>0</v>
      </c>
      <c r="Q54" s="43"/>
      <c r="R54" s="43"/>
      <c r="S54" s="43"/>
      <c r="T54" s="43"/>
      <c r="U54" s="49"/>
      <c r="V54" s="43"/>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77">
        <f>IF($E54=Dict!$F$2,0,
$O54*'Шаг 1. Основные исходные данные'!$E$11*(12/'Шаг 1. Основные исходные данные'!$E$10/8)*H54*$M54*$E$15*Z$19)</f>
        <v>0</v>
      </c>
      <c r="AA54" s="277">
        <f>IF($E54=Dict!$F$2,0,
$O54*'Шаг 1. Основные исходные данные'!$E$11*(12/'Шаг 1. Основные исходные данные'!$E$10/8)*I54*$M54*$E$15*AA$19)</f>
        <v>0</v>
      </c>
      <c r="AB54" s="277">
        <f>IF($E54=Dict!$F$2,0,
$O54*'Шаг 1. Основные исходные данные'!$E$11*(12/'Шаг 1. Основные исходные данные'!$E$10/8)*J54*$M54*$E$15*AB$19)</f>
        <v>0</v>
      </c>
      <c r="AC54" s="277">
        <f>IF($E54=Dict!$F$2,0,
$O54*'Шаг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0</v>
      </c>
      <c r="Q55" s="43"/>
      <c r="R55" s="43"/>
      <c r="S55" s="90"/>
      <c r="T55" s="90"/>
      <c r="U55" s="93"/>
      <c r="V55" s="90"/>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43"/>
      <c r="D56" s="43"/>
      <c r="E56" s="43"/>
      <c r="F56" s="43"/>
      <c r="G56" s="43"/>
      <c r="H56" s="43"/>
      <c r="I56" s="43"/>
      <c r="J56" s="43"/>
      <c r="K56" s="43"/>
      <c r="L56" s="43"/>
      <c r="M56" s="43"/>
      <c r="N56" s="43"/>
      <c r="O56" s="43"/>
      <c r="P56" s="43"/>
      <c r="Q56" s="43"/>
      <c r="R56" s="43"/>
      <c r="S56" s="43"/>
      <c r="T56" s="43"/>
      <c r="U56" s="49"/>
      <c r="V56" s="43"/>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43"/>
      <c r="T57" s="43"/>
      <c r="U57" s="49"/>
      <c r="V57" s="43"/>
      <c r="X57" s="271"/>
      <c r="Y57" s="271"/>
      <c r="Z57" s="271"/>
      <c r="AA57" s="271"/>
      <c r="AB57" s="271"/>
      <c r="AC57" s="271"/>
    </row>
    <row r="58" spans="1:29" s="37" customFormat="1" ht="132" customHeight="1" x14ac:dyDescent="0.25">
      <c r="A58" s="43"/>
      <c r="B58" s="48"/>
      <c r="C58" s="125" t="s">
        <v>62</v>
      </c>
      <c r="D58" s="125" t="s">
        <v>74</v>
      </c>
      <c r="E58" s="125" t="s">
        <v>1160</v>
      </c>
      <c r="F58" s="125" t="s">
        <v>1168</v>
      </c>
      <c r="G58" s="125" t="s">
        <v>1167</v>
      </c>
      <c r="H58" s="326" t="s">
        <v>1232</v>
      </c>
      <c r="I58" s="326"/>
      <c r="J58" s="326"/>
      <c r="K58" s="326"/>
      <c r="L58" s="326"/>
      <c r="M58" s="326"/>
      <c r="N58" s="125" t="s">
        <v>1301</v>
      </c>
      <c r="O58" s="125" t="s">
        <v>1169</v>
      </c>
      <c r="P58" s="125" t="s">
        <v>1307</v>
      </c>
      <c r="Q58" s="125" t="s">
        <v>1269</v>
      </c>
      <c r="R58" s="125" t="s">
        <v>1308</v>
      </c>
      <c r="S58" s="125" t="s">
        <v>1166</v>
      </c>
      <c r="T58" s="125" t="s">
        <v>1170</v>
      </c>
      <c r="U58" s="49"/>
      <c r="V58" s="43"/>
      <c r="X58" s="271">
        <v>1</v>
      </c>
      <c r="Y58" s="271">
        <v>2</v>
      </c>
      <c r="Z58" s="271">
        <v>3</v>
      </c>
      <c r="AA58" s="271">
        <v>4</v>
      </c>
      <c r="AB58" s="271">
        <v>5</v>
      </c>
      <c r="AC58" s="271">
        <v>6</v>
      </c>
    </row>
    <row r="59" spans="1:29" s="37" customFormat="1" ht="15.75" x14ac:dyDescent="0.25">
      <c r="A59" s="43"/>
      <c r="B59" s="48"/>
      <c r="C59" s="125"/>
      <c r="D59" s="125"/>
      <c r="E59" s="125"/>
      <c r="F59" s="125"/>
      <c r="G59" s="125"/>
      <c r="H59" s="125" t="str">
        <f>IF(1&lt;='Шаг 1. Основные исходные данные'!$E$5,"1 год","-")</f>
        <v>1 год</v>
      </c>
      <c r="I59" s="125" t="str">
        <f>IF(2&lt;='Шаг 1. Основные исходные данные'!$E$5,"2 год","-")</f>
        <v>2 год</v>
      </c>
      <c r="J59" s="125" t="str">
        <f>IF(3&lt;='Шаг 1. Основные исходные данные'!$E$5,"3 год","-")</f>
        <v>3 год</v>
      </c>
      <c r="K59" s="125" t="str">
        <f>IF(4&lt;='Шаг 1. Основные исходные данные'!$E$5,"4 год","-")</f>
        <v>4 год</v>
      </c>
      <c r="L59" s="125" t="str">
        <f>IF(5&lt;='Шаг 1. Основные исходные данные'!$E$5,"5 год","-")</f>
        <v>5 год</v>
      </c>
      <c r="M59" s="125" t="str">
        <f>IF(6&lt;='Шаг 1. Основные исходные данные'!$E$5,"6 год","-")</f>
        <v>6 год</v>
      </c>
      <c r="N59" s="125"/>
      <c r="O59" s="125"/>
      <c r="P59" s="125"/>
      <c r="Q59" s="125"/>
      <c r="R59" s="125"/>
      <c r="S59" s="125"/>
      <c r="T59" s="125"/>
      <c r="U59" s="49"/>
      <c r="V59" s="43"/>
      <c r="X59" s="279" t="s">
        <v>1221</v>
      </c>
      <c r="Y59" s="279" t="s">
        <v>1223</v>
      </c>
      <c r="Z59" s="279" t="s">
        <v>1224</v>
      </c>
      <c r="AA59" s="279" t="s">
        <v>1225</v>
      </c>
      <c r="AB59" s="279" t="s">
        <v>1226</v>
      </c>
      <c r="AC59" s="279" t="s">
        <v>1227</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43"/>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43"/>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43"/>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43"/>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43"/>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90"/>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43"/>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43"/>
      <c r="U67" s="43"/>
      <c r="V67" s="43"/>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43"/>
      <c r="X68" s="272"/>
      <c r="Y68" s="272"/>
      <c r="Z68" s="272"/>
      <c r="AA68" s="272"/>
      <c r="AB68" s="272"/>
      <c r="AC68" s="272"/>
    </row>
    <row r="69" spans="1:29" s="37" customFormat="1" ht="15.75" x14ac:dyDescent="0.25">
      <c r="A69" s="43"/>
      <c r="B69" s="48"/>
      <c r="C69" s="36" t="str">
        <f>CONCATENATE("3.2.",$C$16,". Содержательные издержки группы объектов ",$C$16," - """,$D$16,"""")</f>
        <v>3.2.. Содержательные издержки группы объектов  - ""</v>
      </c>
      <c r="D69" s="43"/>
      <c r="E69" s="43"/>
      <c r="F69" s="43"/>
      <c r="G69" s="43"/>
      <c r="H69" s="43"/>
      <c r="I69" s="43"/>
      <c r="J69" s="43"/>
      <c r="K69" s="43"/>
      <c r="L69" s="43"/>
      <c r="M69" s="43"/>
      <c r="N69" s="43"/>
      <c r="O69" s="43"/>
      <c r="P69" s="43"/>
      <c r="Q69" s="43"/>
      <c r="R69" s="43"/>
      <c r="S69" s="43"/>
      <c r="T69" s="43"/>
      <c r="U69" s="49"/>
      <c r="V69" s="43"/>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43"/>
      <c r="T70" s="43"/>
      <c r="U70" s="49"/>
      <c r="V70" s="43"/>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43"/>
      <c r="T71" s="43"/>
      <c r="U71" s="49"/>
      <c r="V71" s="43"/>
      <c r="X71" s="272"/>
      <c r="Y71" s="272"/>
      <c r="Z71" s="272"/>
      <c r="AA71" s="272"/>
      <c r="AB71" s="272"/>
      <c r="AC71" s="272"/>
    </row>
    <row r="72" spans="1:29" s="52" customFormat="1" ht="127.5" customHeight="1" x14ac:dyDescent="0.25">
      <c r="A72" s="23"/>
      <c r="B72" s="50"/>
      <c r="C72" s="326" t="s">
        <v>62</v>
      </c>
      <c r="D72" s="326" t="s">
        <v>64</v>
      </c>
      <c r="E72" s="326" t="s">
        <v>75</v>
      </c>
      <c r="F72" s="326" t="s">
        <v>1231</v>
      </c>
      <c r="G72" s="326"/>
      <c r="H72" s="326"/>
      <c r="I72" s="326"/>
      <c r="J72" s="326"/>
      <c r="K72" s="326"/>
      <c r="L72" s="326" t="s">
        <v>1300</v>
      </c>
      <c r="M72" s="326" t="s">
        <v>1222</v>
      </c>
      <c r="N72" s="125" t="s">
        <v>1309</v>
      </c>
      <c r="O72" s="125" t="s">
        <v>79</v>
      </c>
      <c r="P72" s="125" t="s">
        <v>1159</v>
      </c>
      <c r="Q72" s="43"/>
      <c r="R72" s="43"/>
      <c r="S72" s="23"/>
      <c r="T72" s="23"/>
      <c r="U72" s="51"/>
      <c r="V72" s="23"/>
      <c r="X72" s="272"/>
      <c r="Y72" s="272"/>
      <c r="Z72" s="272"/>
      <c r="AA72" s="272"/>
      <c r="AB72" s="272"/>
      <c r="AC72" s="272"/>
    </row>
    <row r="73" spans="1:29" s="52" customFormat="1" ht="15.75" x14ac:dyDescent="0.25">
      <c r="A73" s="23"/>
      <c r="B73" s="50"/>
      <c r="C73" s="326"/>
      <c r="D73" s="327"/>
      <c r="E73" s="327"/>
      <c r="F73" s="125" t="str">
        <f>IF(1&lt;='Шаг 1. Основные исходные данные'!$E$5,"1 год","-")</f>
        <v>1 год</v>
      </c>
      <c r="G73" s="125" t="str">
        <f>IF(2&lt;='Шаг 1. Основные исходные данные'!$E$5,"2 год","-")</f>
        <v>2 год</v>
      </c>
      <c r="H73" s="125" t="str">
        <f>IF(3&lt;='Шаг 1. Основные исходные данные'!$E$5,"3 год","-")</f>
        <v>3 год</v>
      </c>
      <c r="I73" s="125" t="str">
        <f>IF(4&lt;='Шаг 1. Основные исходные данные'!$E$5,"4 год","-")</f>
        <v>4 год</v>
      </c>
      <c r="J73" s="125" t="str">
        <f>IF(5&lt;='Шаг 1. Основные исходные данные'!$E$5,"5 год","-")</f>
        <v>5 год</v>
      </c>
      <c r="K73" s="125" t="str">
        <f>IF(6&lt;='Шаг 1. Основные исходные данные'!$E$5,"6 год","-")</f>
        <v>6 год</v>
      </c>
      <c r="L73" s="327"/>
      <c r="M73" s="327"/>
      <c r="N73" s="125"/>
      <c r="O73" s="125"/>
      <c r="P73" s="125"/>
      <c r="Q73" s="43"/>
      <c r="R73" s="43"/>
      <c r="S73" s="23"/>
      <c r="T73" s="23"/>
      <c r="U73" s="51"/>
      <c r="V73" s="23"/>
      <c r="X73" s="279" t="s">
        <v>1221</v>
      </c>
      <c r="Y73" s="279" t="s">
        <v>1223</v>
      </c>
      <c r="Z73" s="279" t="s">
        <v>1224</v>
      </c>
      <c r="AA73" s="279" t="s">
        <v>1225</v>
      </c>
      <c r="AB73" s="279" t="s">
        <v>1226</v>
      </c>
      <c r="AC73" s="279" t="s">
        <v>1227</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194447.62497669365</v>
      </c>
      <c r="P74" s="97">
        <f>SUM(X74:AC74)</f>
        <v>0</v>
      </c>
      <c r="Q74" s="43"/>
      <c r="R74" s="43"/>
      <c r="S74" s="43"/>
      <c r="T74" s="43"/>
      <c r="U74" s="49"/>
      <c r="V74" s="43"/>
      <c r="W74" s="281"/>
      <c r="X74" s="282">
        <f>$O74*'Шаг 1. Основные исходные данные'!$E$11*(12/'Шаг 1. Основные исходные данные'!$E$10/8)*F74*$M74*$E$16*X$19</f>
        <v>0</v>
      </c>
      <c r="Y74" s="282">
        <f>IF($E74=Dict!$F$2,0,
$O74*'Шаг 1. Основные исходные данные'!$E$11*(12/'Шаг 1. Основные исходные данные'!$E$10/8)*G74*$M74*$E$16*Y$19)</f>
        <v>0</v>
      </c>
      <c r="Z74" s="277">
        <f>IF($E74=Dict!$F$2,0,
$O74*'Шаг 1. Основные исходные данные'!$E$11*(12/'Шаг 1. Основные исходные данные'!$E$10/8)*H74*$M74*$E$16*Z$19)</f>
        <v>0</v>
      </c>
      <c r="AA74" s="277">
        <f>IF($E74=Dict!$F$2,0,
$O74*'Шаг 1. Основные исходные данные'!$E$11*(12/'Шаг 1. Основные исходные данные'!$E$10/8)*I74*$M74*$E$16*AA$19)</f>
        <v>0</v>
      </c>
      <c r="AB74" s="277">
        <f>IF($E74=Dict!$F$2,0,
$O74*'Шаг 1. Основные исходные данные'!$E$11*(12/'Шаг 1. Основные исходные данные'!$E$10/8)*J74*$M74*$E$16*AB$19)</f>
        <v>0</v>
      </c>
      <c r="AC74" s="277">
        <f>IF($E74=Dict!$F$2,0,
$O74*'Шаг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194447.62497669365</v>
      </c>
      <c r="P75" s="97">
        <f>SUM(X75:AC75)</f>
        <v>0</v>
      </c>
      <c r="Q75" s="43"/>
      <c r="R75" s="43"/>
      <c r="S75" s="43"/>
      <c r="T75" s="43"/>
      <c r="U75" s="49"/>
      <c r="V75" s="43"/>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77">
        <f>IF($E75=Dict!$F$2,0,
$O75*'Шаг 1. Основные исходные данные'!$E$11*(12/'Шаг 1. Основные исходные данные'!$E$10/8)*H75*$M75*$E$16*Z$19)</f>
        <v>0</v>
      </c>
      <c r="AA75" s="277">
        <f>IF($E75=Dict!$F$2,0,
$O75*'Шаг 1. Основные исходные данные'!$E$11*(12/'Шаг 1. Основные исходные данные'!$E$10/8)*I75*$M75*$E$16*AA$19)</f>
        <v>0</v>
      </c>
      <c r="AB75" s="277">
        <f>IF($E75=Dict!$F$2,0,
$O75*'Шаг 1. Основные исходные данные'!$E$11*(12/'Шаг 1. Основные исходные данные'!$E$10/8)*J75*$M75*$E$16*AB$19)</f>
        <v>0</v>
      </c>
      <c r="AC75" s="277">
        <f>IF($E75=Dict!$F$2,0,
$O75*'Шаг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194447.62497669365</v>
      </c>
      <c r="P76" s="97">
        <f>SUM(X76:AC76)</f>
        <v>0</v>
      </c>
      <c r="Q76" s="43"/>
      <c r="R76" s="43"/>
      <c r="S76" s="43"/>
      <c r="T76" s="43"/>
      <c r="U76" s="49"/>
      <c r="V76" s="43"/>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77">
        <f>IF($E76=Dict!$F$2,0,
$O76*'Шаг 1. Основные исходные данные'!$E$11*(12/'Шаг 1. Основные исходные данные'!$E$10/8)*H76*$M76*$E$16*Z$19)</f>
        <v>0</v>
      </c>
      <c r="AA76" s="277">
        <f>IF($E76=Dict!$F$2,0,
$O76*'Шаг 1. Основные исходные данные'!$E$11*(12/'Шаг 1. Основные исходные данные'!$E$10/8)*I76*$M76*$E$16*AA$19)</f>
        <v>0</v>
      </c>
      <c r="AB76" s="277">
        <f>IF($E76=Dict!$F$2,0,
$O76*'Шаг 1. Основные исходные данные'!$E$11*(12/'Шаг 1. Основные исходные данные'!$E$10/8)*J76*$M76*$E$16*AB$19)</f>
        <v>0</v>
      </c>
      <c r="AC76" s="277">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194447.62497669365</v>
      </c>
      <c r="P77" s="97">
        <f>SUM(X77:AC77)</f>
        <v>0</v>
      </c>
      <c r="Q77" s="43"/>
      <c r="R77" s="43"/>
      <c r="S77" s="43"/>
      <c r="T77" s="43"/>
      <c r="U77" s="49"/>
      <c r="V77" s="43"/>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77">
        <f>IF($E77=Dict!$F$2,0,
$O77*'Шаг 1. Основные исходные данные'!$E$11*(12/'Шаг 1. Основные исходные данные'!$E$10/8)*H77*$M77*$E$16*Z$19)</f>
        <v>0</v>
      </c>
      <c r="AA77" s="277">
        <f>IF($E77=Dict!$F$2,0,
$O77*'Шаг 1. Основные исходные данные'!$E$11*(12/'Шаг 1. Основные исходные данные'!$E$10/8)*I77*$M77*$E$16*AA$19)</f>
        <v>0</v>
      </c>
      <c r="AB77" s="277">
        <f>IF($E77=Dict!$F$2,0,
$O77*'Шаг 1. Основные исходные данные'!$E$11*(12/'Шаг 1. Основные исходные данные'!$E$10/8)*J77*$M77*$E$16*AB$19)</f>
        <v>0</v>
      </c>
      <c r="AC77" s="277">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194447.62497669365</v>
      </c>
      <c r="P78" s="97">
        <f>SUM(X78:AC78)</f>
        <v>0</v>
      </c>
      <c r="Q78" s="43"/>
      <c r="R78" s="43"/>
      <c r="S78" s="43"/>
      <c r="T78" s="43"/>
      <c r="U78" s="49"/>
      <c r="V78" s="43"/>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77">
        <f>IF($E78=Dict!$F$2,0,
$O78*'Шаг 1. Основные исходные данные'!$E$11*(12/'Шаг 1. Основные исходные данные'!$E$10/8)*H78*$M78*$E$16*Z$19)</f>
        <v>0</v>
      </c>
      <c r="AA78" s="277">
        <f>IF($E78=Dict!$F$2,0,
$O78*'Шаг 1. Основные исходные данные'!$E$11*(12/'Шаг 1. Основные исходные данные'!$E$10/8)*I78*$M78*$E$16*AA$19)</f>
        <v>0</v>
      </c>
      <c r="AB78" s="277">
        <f>IF($E78=Dict!$F$2,0,
$O78*'Шаг 1. Основные исходные данные'!$E$11*(12/'Шаг 1. Основные исходные данные'!$E$10/8)*J78*$M78*$E$16*AB$19)</f>
        <v>0</v>
      </c>
      <c r="AC78" s="277">
        <f>IF($E78=Dict!$F$2,0,
$O78*'Шаг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90"/>
      <c r="T79" s="90"/>
      <c r="U79" s="93"/>
      <c r="V79" s="90"/>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43"/>
      <c r="T80" s="43"/>
      <c r="U80" s="49"/>
      <c r="V80" s="43"/>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43"/>
      <c r="T81" s="43"/>
      <c r="U81" s="49"/>
      <c r="V81" s="43"/>
      <c r="X81" s="271"/>
      <c r="Y81" s="271"/>
      <c r="Z81" s="271"/>
      <c r="AA81" s="271"/>
      <c r="AB81" s="271"/>
      <c r="AC81" s="271"/>
    </row>
    <row r="82" spans="1:29" s="37" customFormat="1" ht="132" customHeight="1" x14ac:dyDescent="0.25">
      <c r="A82" s="43"/>
      <c r="B82" s="48"/>
      <c r="C82" s="125" t="s">
        <v>62</v>
      </c>
      <c r="D82" s="125" t="s">
        <v>74</v>
      </c>
      <c r="E82" s="125" t="s">
        <v>1160</v>
      </c>
      <c r="F82" s="125" t="s">
        <v>1168</v>
      </c>
      <c r="G82" s="125" t="s">
        <v>1167</v>
      </c>
      <c r="H82" s="326" t="s">
        <v>1232</v>
      </c>
      <c r="I82" s="326"/>
      <c r="J82" s="326"/>
      <c r="K82" s="326"/>
      <c r="L82" s="326"/>
      <c r="M82" s="326"/>
      <c r="N82" s="125" t="s">
        <v>1301</v>
      </c>
      <c r="O82" s="125" t="s">
        <v>1169</v>
      </c>
      <c r="P82" s="125" t="s">
        <v>1307</v>
      </c>
      <c r="Q82" s="125" t="s">
        <v>1269</v>
      </c>
      <c r="R82" s="125" t="s">
        <v>1308</v>
      </c>
      <c r="S82" s="125" t="s">
        <v>1166</v>
      </c>
      <c r="T82" s="125" t="s">
        <v>1170</v>
      </c>
      <c r="U82" s="49"/>
      <c r="V82" s="43"/>
      <c r="X82" s="271">
        <v>1</v>
      </c>
      <c r="Y82" s="271">
        <v>2</v>
      </c>
      <c r="Z82" s="271">
        <v>3</v>
      </c>
      <c r="AA82" s="271">
        <v>4</v>
      </c>
      <c r="AB82" s="271">
        <v>5</v>
      </c>
      <c r="AC82" s="271">
        <v>6</v>
      </c>
    </row>
    <row r="83" spans="1:29" s="37" customFormat="1" ht="15.75" x14ac:dyDescent="0.25">
      <c r="A83" s="43"/>
      <c r="B83" s="48"/>
      <c r="C83" s="125"/>
      <c r="D83" s="125"/>
      <c r="E83" s="125"/>
      <c r="F83" s="125"/>
      <c r="G83" s="125"/>
      <c r="H83" s="125" t="str">
        <f>IF(1&lt;='Шаг 1. Основные исходные данные'!$E$5,"1 год","-")</f>
        <v>1 год</v>
      </c>
      <c r="I83" s="125" t="str">
        <f>IF(2&lt;='Шаг 1. Основные исходные данные'!$E$5,"2 год","-")</f>
        <v>2 год</v>
      </c>
      <c r="J83" s="125" t="str">
        <f>IF(3&lt;='Шаг 1. Основные исходные данные'!$E$5,"3 год","-")</f>
        <v>3 год</v>
      </c>
      <c r="K83" s="125" t="str">
        <f>IF(4&lt;='Шаг 1. Основные исходные данные'!$E$5,"4 год","-")</f>
        <v>4 год</v>
      </c>
      <c r="L83" s="125" t="str">
        <f>IF(5&lt;='Шаг 1. Основные исходные данные'!$E$5,"5 год","-")</f>
        <v>5 год</v>
      </c>
      <c r="M83" s="125" t="str">
        <f>IF(6&lt;='Шаг 1. Основные исходные данные'!$E$5,"6 год","-")</f>
        <v>6 год</v>
      </c>
      <c r="N83" s="125"/>
      <c r="O83" s="125"/>
      <c r="P83" s="125"/>
      <c r="Q83" s="125"/>
      <c r="R83" s="125"/>
      <c r="S83" s="125"/>
      <c r="T83" s="125"/>
      <c r="U83" s="49"/>
      <c r="V83" s="43"/>
      <c r="X83" s="279" t="s">
        <v>1221</v>
      </c>
      <c r="Y83" s="279" t="s">
        <v>1223</v>
      </c>
      <c r="Z83" s="279" t="s">
        <v>1224</v>
      </c>
      <c r="AA83" s="279" t="s">
        <v>1225</v>
      </c>
      <c r="AB83" s="279" t="s">
        <v>1226</v>
      </c>
      <c r="AC83" s="279" t="s">
        <v>1227</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43"/>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43"/>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43"/>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43"/>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43"/>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90"/>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43"/>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43"/>
      <c r="U91" s="43"/>
      <c r="V91" s="43"/>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43"/>
      <c r="X92" s="272"/>
      <c r="Y92" s="272"/>
      <c r="Z92" s="272"/>
      <c r="AA92" s="272"/>
      <c r="AB92" s="272"/>
      <c r="AC92" s="272"/>
    </row>
    <row r="93" spans="1:29" s="37" customFormat="1" ht="15.75" x14ac:dyDescent="0.25">
      <c r="A93" s="43"/>
      <c r="B93" s="48"/>
      <c r="C93" s="36" t="str">
        <f>CONCATENATE("3.2.",$C$17,". Содержательные издержки группы объектов ",$C$17," - """,$D$17,"""")</f>
        <v>3.2.. Содержательные издержки группы объектов  - ""</v>
      </c>
      <c r="D93" s="43"/>
      <c r="E93" s="43"/>
      <c r="F93" s="43"/>
      <c r="G93" s="43"/>
      <c r="H93" s="43"/>
      <c r="I93" s="43"/>
      <c r="J93" s="43"/>
      <c r="K93" s="43"/>
      <c r="L93" s="43"/>
      <c r="M93" s="43"/>
      <c r="N93" s="43"/>
      <c r="O93" s="43"/>
      <c r="P93" s="43"/>
      <c r="Q93" s="43"/>
      <c r="R93" s="43"/>
      <c r="S93" s="43"/>
      <c r="T93" s="43"/>
      <c r="U93" s="49"/>
      <c r="V93" s="43"/>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43"/>
      <c r="T94" s="43"/>
      <c r="U94" s="49"/>
      <c r="V94" s="43"/>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43"/>
      <c r="T95" s="43"/>
      <c r="U95" s="49"/>
      <c r="V95" s="43"/>
      <c r="X95" s="272"/>
      <c r="Y95" s="272"/>
      <c r="Z95" s="272"/>
      <c r="AA95" s="272"/>
      <c r="AB95" s="272"/>
      <c r="AC95" s="272"/>
    </row>
    <row r="96" spans="1:29" s="52" customFormat="1" ht="127.5" customHeight="1" x14ac:dyDescent="0.25">
      <c r="A96" s="23"/>
      <c r="B96" s="50"/>
      <c r="C96" s="326" t="s">
        <v>62</v>
      </c>
      <c r="D96" s="326" t="s">
        <v>64</v>
      </c>
      <c r="E96" s="326" t="s">
        <v>75</v>
      </c>
      <c r="F96" s="326" t="s">
        <v>1231</v>
      </c>
      <c r="G96" s="326"/>
      <c r="H96" s="326"/>
      <c r="I96" s="326"/>
      <c r="J96" s="326"/>
      <c r="K96" s="326"/>
      <c r="L96" s="326" t="s">
        <v>1300</v>
      </c>
      <c r="M96" s="326" t="s">
        <v>1222</v>
      </c>
      <c r="N96" s="125" t="s">
        <v>1309</v>
      </c>
      <c r="O96" s="125" t="s">
        <v>79</v>
      </c>
      <c r="P96" s="125" t="s">
        <v>1159</v>
      </c>
      <c r="Q96" s="43"/>
      <c r="R96" s="43"/>
      <c r="S96" s="23"/>
      <c r="T96" s="23"/>
      <c r="U96" s="51"/>
      <c r="V96" s="23"/>
      <c r="X96" s="272"/>
      <c r="Y96" s="272"/>
      <c r="Z96" s="272"/>
      <c r="AA96" s="272"/>
      <c r="AB96" s="272"/>
      <c r="AC96" s="272"/>
    </row>
    <row r="97" spans="1:29" s="52" customFormat="1" ht="15.75" x14ac:dyDescent="0.25">
      <c r="A97" s="23"/>
      <c r="B97" s="50"/>
      <c r="C97" s="326"/>
      <c r="D97" s="327"/>
      <c r="E97" s="327"/>
      <c r="F97" s="125" t="str">
        <f>IF(1&lt;='Шаг 1. Основные исходные данные'!$E$5,"1 год","-")</f>
        <v>1 год</v>
      </c>
      <c r="G97" s="125" t="str">
        <f>IF(2&lt;='Шаг 1. Основные исходные данные'!$E$5,"2 год","-")</f>
        <v>2 год</v>
      </c>
      <c r="H97" s="125" t="str">
        <f>IF(3&lt;='Шаг 1. Основные исходные данные'!$E$5,"3 год","-")</f>
        <v>3 год</v>
      </c>
      <c r="I97" s="125" t="str">
        <f>IF(4&lt;='Шаг 1. Основные исходные данные'!$E$5,"4 год","-")</f>
        <v>4 год</v>
      </c>
      <c r="J97" s="125" t="str">
        <f>IF(5&lt;='Шаг 1. Основные исходные данные'!$E$5,"5 год","-")</f>
        <v>5 год</v>
      </c>
      <c r="K97" s="125" t="str">
        <f>IF(6&lt;='Шаг 1. Основные исходные данные'!$E$5,"6 год","-")</f>
        <v>6 год</v>
      </c>
      <c r="L97" s="327"/>
      <c r="M97" s="327"/>
      <c r="N97" s="125"/>
      <c r="O97" s="125"/>
      <c r="P97" s="125"/>
      <c r="Q97" s="43"/>
      <c r="R97" s="43"/>
      <c r="S97" s="23"/>
      <c r="T97" s="23"/>
      <c r="U97" s="51"/>
      <c r="V97" s="23"/>
      <c r="X97" s="279" t="s">
        <v>1221</v>
      </c>
      <c r="Y97" s="279" t="s">
        <v>1223</v>
      </c>
      <c r="Z97" s="279" t="s">
        <v>1224</v>
      </c>
      <c r="AA97" s="279" t="s">
        <v>1225</v>
      </c>
      <c r="AB97" s="279" t="s">
        <v>1226</v>
      </c>
      <c r="AC97" s="279" t="s">
        <v>1227</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194447.62497669365</v>
      </c>
      <c r="P98" s="97">
        <f>SUM(X98:AC98)</f>
        <v>0</v>
      </c>
      <c r="Q98" s="43"/>
      <c r="R98" s="43"/>
      <c r="S98" s="43"/>
      <c r="T98" s="43"/>
      <c r="U98" s="49"/>
      <c r="V98" s="43"/>
      <c r="W98" s="281"/>
      <c r="X98" s="282">
        <f>$O98*'Шаг 1. Основные исходные данные'!$E$11*(12/'Шаг 1. Основные исходные данные'!$E$10/8)*F98*$M98*$E$17*X$19</f>
        <v>0</v>
      </c>
      <c r="Y98" s="282">
        <f>IF($E98=Dict!$F$2,0,
$O98*'Шаг 1. Основные исходные данные'!$E$11*(12/'Шаг 1. Основные исходные данные'!$E$10/8)*G98*$M98*$E$17*Y$19)</f>
        <v>0</v>
      </c>
      <c r="Z98" s="277">
        <f>IF($E98=Dict!$F$2,0,
$O98*'Шаг 1. Основные исходные данные'!$E$11*(12/'Шаг 1. Основные исходные данные'!$E$10/8)*H98*$M98*$E$17*Z$19)</f>
        <v>0</v>
      </c>
      <c r="AA98" s="277">
        <f>IF($E98=Dict!$F$2,0,
$O98*'Шаг 1. Основные исходные данные'!$E$11*(12/'Шаг 1. Основные исходные данные'!$E$10/8)*I98*$M98*$E$17*AA$19)</f>
        <v>0</v>
      </c>
      <c r="AB98" s="277">
        <f>IF($E98=Dict!$F$2,0,
$O98*'Шаг 1. Основные исходные данные'!$E$11*(12/'Шаг 1. Основные исходные данные'!$E$10/8)*J98*$M98*$E$17*AB$19)</f>
        <v>0</v>
      </c>
      <c r="AC98" s="277">
        <f>IF($E98=Dict!$F$2,0,
$O98*'Шаг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194447.62497669365</v>
      </c>
      <c r="P99" s="97">
        <f>SUM(X99:AC99)</f>
        <v>0</v>
      </c>
      <c r="Q99" s="43"/>
      <c r="R99" s="43"/>
      <c r="S99" s="43"/>
      <c r="T99" s="43"/>
      <c r="U99" s="49"/>
      <c r="V99" s="43"/>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77">
        <f>IF($E99=Dict!$F$2,0,
$O99*'Шаг 1. Основные исходные данные'!$E$11*(12/'Шаг 1. Основные исходные данные'!$E$10/8)*H99*$M99*$E$17*Z$19)</f>
        <v>0</v>
      </c>
      <c r="AA99" s="277">
        <f>IF($E99=Dict!$F$2,0,
$O99*'Шаг 1. Основные исходные данные'!$E$11*(12/'Шаг 1. Основные исходные данные'!$E$10/8)*I99*$M99*$E$17*AA$19)</f>
        <v>0</v>
      </c>
      <c r="AB99" s="277">
        <f>IF($E99=Dict!$F$2,0,
$O99*'Шаг 1. Основные исходные данные'!$E$11*(12/'Шаг 1. Основные исходные данные'!$E$10/8)*J99*$M99*$E$17*AB$19)</f>
        <v>0</v>
      </c>
      <c r="AC99" s="277">
        <f>IF($E99=Dict!$F$2,0,
$O99*'Шаг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194447.62497669365</v>
      </c>
      <c r="P100" s="97">
        <f>SUM(X100:AC100)</f>
        <v>0</v>
      </c>
      <c r="Q100" s="43"/>
      <c r="R100" s="43"/>
      <c r="S100" s="43"/>
      <c r="T100" s="43"/>
      <c r="U100" s="49"/>
      <c r="V100" s="43"/>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77">
        <f>IF($E100=Dict!$F$2,0,
$O100*'Шаг 1. Основные исходные данные'!$E$11*(12/'Шаг 1. Основные исходные данные'!$E$10/8)*H100*$M100*$E$17*Z$19)</f>
        <v>0</v>
      </c>
      <c r="AA100" s="277">
        <f>IF($E100=Dict!$F$2,0,
$O100*'Шаг 1. Основные исходные данные'!$E$11*(12/'Шаг 1. Основные исходные данные'!$E$10/8)*I100*$M100*$E$17*AA$19)</f>
        <v>0</v>
      </c>
      <c r="AB100" s="277">
        <f>IF($E100=Dict!$F$2,0,
$O100*'Шаг 1. Основные исходные данные'!$E$11*(12/'Шаг 1. Основные исходные данные'!$E$10/8)*J100*$M100*$E$17*AB$19)</f>
        <v>0</v>
      </c>
      <c r="AC100" s="277">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194447.62497669365</v>
      </c>
      <c r="P101" s="97">
        <f>SUM(X101:AC101)</f>
        <v>0</v>
      </c>
      <c r="Q101" s="43"/>
      <c r="R101" s="43"/>
      <c r="S101" s="43"/>
      <c r="T101" s="43"/>
      <c r="U101" s="49"/>
      <c r="V101" s="43"/>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77">
        <f>IF($E101=Dict!$F$2,0,
$O101*'Шаг 1. Основные исходные данные'!$E$11*(12/'Шаг 1. Основные исходные данные'!$E$10/8)*H101*$M101*$E$17*Z$19)</f>
        <v>0</v>
      </c>
      <c r="AA101" s="277">
        <f>IF($E101=Dict!$F$2,0,
$O101*'Шаг 1. Основные исходные данные'!$E$11*(12/'Шаг 1. Основные исходные данные'!$E$10/8)*I101*$M101*$E$17*AA$19)</f>
        <v>0</v>
      </c>
      <c r="AB101" s="277">
        <f>IF($E101=Dict!$F$2,0,
$O101*'Шаг 1. Основные исходные данные'!$E$11*(12/'Шаг 1. Основные исходные данные'!$E$10/8)*J101*$M101*$E$17*AB$19)</f>
        <v>0</v>
      </c>
      <c r="AC101" s="277">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194447.62497669365</v>
      </c>
      <c r="P102" s="97">
        <f>SUM(X102:AC102)</f>
        <v>0</v>
      </c>
      <c r="Q102" s="43"/>
      <c r="R102" s="43"/>
      <c r="S102" s="43"/>
      <c r="T102" s="43"/>
      <c r="U102" s="49"/>
      <c r="V102" s="43"/>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77">
        <f>IF($E102=Dict!$F$2,0,
$O102*'Шаг 1. Основные исходные данные'!$E$11*(12/'Шаг 1. Основные исходные данные'!$E$10/8)*H102*$M102*$E$17*Z$19)</f>
        <v>0</v>
      </c>
      <c r="AA102" s="277">
        <f>IF($E102=Dict!$F$2,0,
$O102*'Шаг 1. Основные исходные данные'!$E$11*(12/'Шаг 1. Основные исходные данные'!$E$10/8)*I102*$M102*$E$17*AA$19)</f>
        <v>0</v>
      </c>
      <c r="AB102" s="277">
        <f>IF($E102=Dict!$F$2,0,
$O102*'Шаг 1. Основные исходные данные'!$E$11*(12/'Шаг 1. Основные исходные данные'!$E$10/8)*J102*$M102*$E$17*AB$19)</f>
        <v>0</v>
      </c>
      <c r="AC102" s="277">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90"/>
      <c r="T103" s="90"/>
      <c r="U103" s="93"/>
      <c r="V103" s="90"/>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43"/>
      <c r="T104" s="43"/>
      <c r="U104" s="49"/>
      <c r="V104" s="43"/>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43"/>
      <c r="T105" s="43"/>
      <c r="U105" s="49"/>
      <c r="V105" s="43"/>
      <c r="X105" s="271"/>
      <c r="Y105" s="271"/>
      <c r="Z105" s="271"/>
      <c r="AA105" s="271"/>
      <c r="AB105" s="271"/>
      <c r="AC105" s="271"/>
    </row>
    <row r="106" spans="1:29" s="37" customFormat="1" ht="132" customHeight="1" x14ac:dyDescent="0.25">
      <c r="A106" s="43"/>
      <c r="B106" s="48"/>
      <c r="C106" s="125" t="s">
        <v>62</v>
      </c>
      <c r="D106" s="125" t="s">
        <v>74</v>
      </c>
      <c r="E106" s="125" t="s">
        <v>1160</v>
      </c>
      <c r="F106" s="125" t="s">
        <v>1168</v>
      </c>
      <c r="G106" s="125" t="s">
        <v>1167</v>
      </c>
      <c r="H106" s="326" t="s">
        <v>1232</v>
      </c>
      <c r="I106" s="326"/>
      <c r="J106" s="326"/>
      <c r="K106" s="326"/>
      <c r="L106" s="326"/>
      <c r="M106" s="326"/>
      <c r="N106" s="125" t="s">
        <v>1301</v>
      </c>
      <c r="O106" s="125" t="s">
        <v>1169</v>
      </c>
      <c r="P106" s="125" t="s">
        <v>1307</v>
      </c>
      <c r="Q106" s="125" t="s">
        <v>1269</v>
      </c>
      <c r="R106" s="125" t="s">
        <v>1308</v>
      </c>
      <c r="S106" s="125" t="s">
        <v>1166</v>
      </c>
      <c r="T106" s="125" t="s">
        <v>1170</v>
      </c>
      <c r="U106" s="49"/>
      <c r="V106" s="43"/>
      <c r="X106" s="271">
        <v>1</v>
      </c>
      <c r="Y106" s="271">
        <v>2</v>
      </c>
      <c r="Z106" s="271">
        <v>3</v>
      </c>
      <c r="AA106" s="271">
        <v>4</v>
      </c>
      <c r="AB106" s="271">
        <v>5</v>
      </c>
      <c r="AC106" s="271">
        <v>6</v>
      </c>
    </row>
    <row r="107" spans="1:29" s="37" customFormat="1" ht="15.75" x14ac:dyDescent="0.25">
      <c r="A107" s="43"/>
      <c r="B107" s="48"/>
      <c r="C107" s="125"/>
      <c r="D107" s="125"/>
      <c r="E107" s="125"/>
      <c r="F107" s="125"/>
      <c r="G107" s="125"/>
      <c r="H107" s="125" t="str">
        <f>IF(1&lt;='Шаг 1. Основные исходные данные'!$E$5,"1 год","-")</f>
        <v>1 год</v>
      </c>
      <c r="I107" s="125" t="str">
        <f>IF(2&lt;='Шаг 1. Основные исходные данные'!$E$5,"2 год","-")</f>
        <v>2 год</v>
      </c>
      <c r="J107" s="125" t="str">
        <f>IF(3&lt;='Шаг 1. Основные исходные данные'!$E$5,"3 год","-")</f>
        <v>3 год</v>
      </c>
      <c r="K107" s="125" t="str">
        <f>IF(4&lt;='Шаг 1. Основные исходные данные'!$E$5,"4 год","-")</f>
        <v>4 год</v>
      </c>
      <c r="L107" s="125" t="str">
        <f>IF(5&lt;='Шаг 1. Основные исходные данные'!$E$5,"5 год","-")</f>
        <v>5 год</v>
      </c>
      <c r="M107" s="125" t="str">
        <f>IF(6&lt;='Шаг 1. Основные исходные данные'!$E$5,"6 год","-")</f>
        <v>6 год</v>
      </c>
      <c r="N107" s="125"/>
      <c r="O107" s="125"/>
      <c r="P107" s="125"/>
      <c r="Q107" s="125"/>
      <c r="R107" s="125"/>
      <c r="S107" s="125"/>
      <c r="T107" s="125"/>
      <c r="U107" s="49"/>
      <c r="V107" s="43"/>
      <c r="X107" s="279" t="s">
        <v>1221</v>
      </c>
      <c r="Y107" s="279" t="s">
        <v>1223</v>
      </c>
      <c r="Z107" s="279" t="s">
        <v>1224</v>
      </c>
      <c r="AA107" s="279" t="s">
        <v>1225</v>
      </c>
      <c r="AB107" s="279" t="s">
        <v>1226</v>
      </c>
      <c r="AC107" s="279" t="s">
        <v>1227</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43"/>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43"/>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43"/>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43"/>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43"/>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90"/>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43"/>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43"/>
      <c r="X116" s="272"/>
      <c r="Y116" s="272"/>
      <c r="Z116" s="272"/>
      <c r="AA116" s="272"/>
      <c r="AB116" s="272"/>
      <c r="AC116" s="272"/>
    </row>
    <row r="117" spans="1:29" s="37" customFormat="1" ht="15.75" x14ac:dyDescent="0.25">
      <c r="A117" s="43"/>
      <c r="B117" s="48"/>
      <c r="C117" s="36" t="str">
        <f>CONCATENATE("3.2.",$C$18,". Содержательные издержки группы объектов ",$C$18," - """,$D$18,"""")</f>
        <v>3.2.. Содержательные издержки группы объектов  - ""</v>
      </c>
      <c r="D117" s="43"/>
      <c r="E117" s="43"/>
      <c r="F117" s="43"/>
      <c r="G117" s="43"/>
      <c r="H117" s="43"/>
      <c r="I117" s="43"/>
      <c r="J117" s="43"/>
      <c r="K117" s="43"/>
      <c r="L117" s="43"/>
      <c r="M117" s="43"/>
      <c r="N117" s="43"/>
      <c r="O117" s="43"/>
      <c r="P117" s="43"/>
      <c r="Q117" s="43"/>
      <c r="R117" s="43"/>
      <c r="S117" s="43"/>
      <c r="T117" s="43"/>
      <c r="U117" s="49"/>
      <c r="V117" s="43"/>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43"/>
      <c r="T118" s="43"/>
      <c r="U118" s="49"/>
      <c r="V118" s="43"/>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43"/>
      <c r="T119" s="43"/>
      <c r="U119" s="49"/>
      <c r="V119" s="43"/>
      <c r="X119" s="272"/>
      <c r="Y119" s="272"/>
      <c r="Z119" s="272"/>
      <c r="AA119" s="272"/>
      <c r="AB119" s="272"/>
      <c r="AC119" s="272"/>
    </row>
    <row r="120" spans="1:29" s="52" customFormat="1" ht="127.5" customHeight="1" x14ac:dyDescent="0.25">
      <c r="A120" s="23"/>
      <c r="B120" s="50"/>
      <c r="C120" s="326" t="s">
        <v>62</v>
      </c>
      <c r="D120" s="326" t="s">
        <v>64</v>
      </c>
      <c r="E120" s="326" t="s">
        <v>75</v>
      </c>
      <c r="F120" s="326" t="s">
        <v>1231</v>
      </c>
      <c r="G120" s="326"/>
      <c r="H120" s="326"/>
      <c r="I120" s="326"/>
      <c r="J120" s="326"/>
      <c r="K120" s="326"/>
      <c r="L120" s="326" t="s">
        <v>1300</v>
      </c>
      <c r="M120" s="326" t="s">
        <v>1222</v>
      </c>
      <c r="N120" s="125" t="s">
        <v>1309</v>
      </c>
      <c r="O120" s="125" t="s">
        <v>79</v>
      </c>
      <c r="P120" s="125" t="s">
        <v>1159</v>
      </c>
      <c r="Q120" s="43"/>
      <c r="R120" s="43"/>
      <c r="S120" s="23"/>
      <c r="T120" s="23"/>
      <c r="U120" s="51"/>
      <c r="V120" s="23"/>
      <c r="X120" s="272"/>
      <c r="Y120" s="272"/>
      <c r="Z120" s="272"/>
      <c r="AA120" s="272"/>
      <c r="AB120" s="272"/>
      <c r="AC120" s="272"/>
    </row>
    <row r="121" spans="1:29" s="52" customFormat="1" ht="15.75" x14ac:dyDescent="0.25">
      <c r="A121" s="23"/>
      <c r="B121" s="50"/>
      <c r="C121" s="326"/>
      <c r="D121" s="327"/>
      <c r="E121" s="327"/>
      <c r="F121" s="125" t="str">
        <f>IF(1&lt;='Шаг 1. Основные исходные данные'!$E$5,"1 год","-")</f>
        <v>1 год</v>
      </c>
      <c r="G121" s="125" t="str">
        <f>IF(2&lt;='Шаг 1. Основные исходные данные'!$E$5,"2 год","-")</f>
        <v>2 год</v>
      </c>
      <c r="H121" s="125" t="str">
        <f>IF(3&lt;='Шаг 1. Основные исходные данные'!$E$5,"3 год","-")</f>
        <v>3 год</v>
      </c>
      <c r="I121" s="125" t="str">
        <f>IF(4&lt;='Шаг 1. Основные исходные данные'!$E$5,"4 год","-")</f>
        <v>4 год</v>
      </c>
      <c r="J121" s="125" t="str">
        <f>IF(5&lt;='Шаг 1. Основные исходные данные'!$E$5,"5 год","-")</f>
        <v>5 год</v>
      </c>
      <c r="K121" s="125" t="str">
        <f>IF(6&lt;='Шаг 1. Основные исходные данные'!$E$5,"6 год","-")</f>
        <v>6 год</v>
      </c>
      <c r="L121" s="327"/>
      <c r="M121" s="327"/>
      <c r="N121" s="125"/>
      <c r="O121" s="125"/>
      <c r="P121" s="125"/>
      <c r="Q121" s="43"/>
      <c r="R121" s="43"/>
      <c r="S121" s="23"/>
      <c r="T121" s="23"/>
      <c r="U121" s="51"/>
      <c r="V121" s="23"/>
      <c r="X121" s="279" t="s">
        <v>1221</v>
      </c>
      <c r="Y121" s="279" t="s">
        <v>1223</v>
      </c>
      <c r="Z121" s="279" t="s">
        <v>1224</v>
      </c>
      <c r="AA121" s="279" t="s">
        <v>1225</v>
      </c>
      <c r="AB121" s="279" t="s">
        <v>1226</v>
      </c>
      <c r="AC121" s="279" t="s">
        <v>1227</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194447.62497669365</v>
      </c>
      <c r="P122" s="97">
        <f>SUM(X122:AC122)</f>
        <v>0</v>
      </c>
      <c r="Q122" s="43"/>
      <c r="R122" s="43"/>
      <c r="S122" s="43"/>
      <c r="T122" s="43"/>
      <c r="U122" s="49"/>
      <c r="V122" s="43"/>
      <c r="W122" s="281"/>
      <c r="X122" s="282">
        <f>$O122*'Шаг 1. Основные исходные данные'!$E$11*(12/'Шаг 1. Основные исходные данные'!$E$10/8)*F122*$M122*$E$18*X$19</f>
        <v>0</v>
      </c>
      <c r="Y122" s="282">
        <f>IF($E122=Dict!$F$2,0,
$O122*'Шаг 1. Основные исходные данные'!$E$11*(12/'Шаг 1. Основные исходные данные'!$E$10/8)*G122*$M122*$E$18*Y$19)</f>
        <v>0</v>
      </c>
      <c r="Z122" s="277">
        <f>IF($E122=Dict!$F$2,0,
$O122*'Шаг 1. Основные исходные данные'!$E$11*(12/'Шаг 1. Основные исходные данные'!$E$10/8)*H122*$M122*$E$18*Z$19)</f>
        <v>0</v>
      </c>
      <c r="AA122" s="277">
        <f>IF($E122=Dict!$F$2,0,
$O122*'Шаг 1. Основные исходные данные'!$E$11*(12/'Шаг 1. Основные исходные данные'!$E$10/8)*I122*$M122*$E$18*AA$19)</f>
        <v>0</v>
      </c>
      <c r="AB122" s="277">
        <f>IF($E122=Dict!$F$2,0,
$O122*'Шаг 1. Основные исходные данные'!$E$11*(12/'Шаг 1. Основные исходные данные'!$E$10/8)*J122*$M122*$E$18*AB$19)</f>
        <v>0</v>
      </c>
      <c r="AC122" s="277">
        <f>IF($E122=Dict!$F$2,0,
$O122*'Шаг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194447.62497669365</v>
      </c>
      <c r="P123" s="97">
        <f>SUM(X123:AC123)</f>
        <v>0</v>
      </c>
      <c r="Q123" s="43"/>
      <c r="R123" s="43"/>
      <c r="S123" s="43"/>
      <c r="T123" s="43"/>
      <c r="U123" s="49"/>
      <c r="V123" s="43"/>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77">
        <f>IF($E123=Dict!$F$2,0,
$O123*'Шаг 1. Основные исходные данные'!$E$11*(12/'Шаг 1. Основные исходные данные'!$E$10/8)*H123*$M123*$E$18*Z$19)</f>
        <v>0</v>
      </c>
      <c r="AA123" s="277">
        <f>IF($E123=Dict!$F$2,0,
$O123*'Шаг 1. Основные исходные данные'!$E$11*(12/'Шаг 1. Основные исходные данные'!$E$10/8)*I123*$M123*$E$18*AA$19)</f>
        <v>0</v>
      </c>
      <c r="AB123" s="277">
        <f>IF($E123=Dict!$F$2,0,
$O123*'Шаг 1. Основные исходные данные'!$E$11*(12/'Шаг 1. Основные исходные данные'!$E$10/8)*J123*$M123*$E$18*AB$19)</f>
        <v>0</v>
      </c>
      <c r="AC123" s="277">
        <f>IF($E123=Dict!$F$2,0,
$O123*'Шаг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194447.62497669365</v>
      </c>
      <c r="P124" s="97">
        <f>SUM(X124:AC124)</f>
        <v>0</v>
      </c>
      <c r="Q124" s="43"/>
      <c r="R124" s="43"/>
      <c r="S124" s="43"/>
      <c r="T124" s="43"/>
      <c r="U124" s="49"/>
      <c r="V124" s="43"/>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77">
        <f>IF($E124=Dict!$F$2,0,
$O124*'Шаг 1. Основные исходные данные'!$E$11*(12/'Шаг 1. Основные исходные данные'!$E$10/8)*H124*$M124*$E$18*Z$19)</f>
        <v>0</v>
      </c>
      <c r="AA124" s="277">
        <f>IF($E124=Dict!$F$2,0,
$O124*'Шаг 1. Основные исходные данные'!$E$11*(12/'Шаг 1. Основные исходные данные'!$E$10/8)*I124*$M124*$E$18*AA$19)</f>
        <v>0</v>
      </c>
      <c r="AB124" s="277">
        <f>IF($E124=Dict!$F$2,0,
$O124*'Шаг 1. Основные исходные данные'!$E$11*(12/'Шаг 1. Основные исходные данные'!$E$10/8)*J124*$M124*$E$18*AB$19)</f>
        <v>0</v>
      </c>
      <c r="AC124" s="277">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194447.62497669365</v>
      </c>
      <c r="P125" s="97">
        <f>SUM(X125:AC125)</f>
        <v>0</v>
      </c>
      <c r="Q125" s="43"/>
      <c r="R125" s="43"/>
      <c r="S125" s="43"/>
      <c r="T125" s="43"/>
      <c r="U125" s="49"/>
      <c r="V125" s="43"/>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77">
        <f>IF($E125=Dict!$F$2,0,
$O125*'Шаг 1. Основные исходные данные'!$E$11*(12/'Шаг 1. Основные исходные данные'!$E$10/8)*H125*$M125*$E$18*Z$19)</f>
        <v>0</v>
      </c>
      <c r="AA125" s="277">
        <f>IF($E125=Dict!$F$2,0,
$O125*'Шаг 1. Основные исходные данные'!$E$11*(12/'Шаг 1. Основные исходные данные'!$E$10/8)*I125*$M125*$E$18*AA$19)</f>
        <v>0</v>
      </c>
      <c r="AB125" s="277">
        <f>IF($E125=Dict!$F$2,0,
$O125*'Шаг 1. Основные исходные данные'!$E$11*(12/'Шаг 1. Основные исходные данные'!$E$10/8)*J125*$M125*$E$18*AB$19)</f>
        <v>0</v>
      </c>
      <c r="AC125" s="277">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194447.62497669365</v>
      </c>
      <c r="P126" s="97">
        <f>SUM(X126:AC126)</f>
        <v>0</v>
      </c>
      <c r="Q126" s="43"/>
      <c r="R126" s="43"/>
      <c r="S126" s="43"/>
      <c r="T126" s="43"/>
      <c r="U126" s="49"/>
      <c r="V126" s="43"/>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77">
        <f>IF($E126=Dict!$F$2,0,
$O126*'Шаг 1. Основные исходные данные'!$E$11*(12/'Шаг 1. Основные исходные данные'!$E$10/8)*H126*$M126*$E$18*Z$19)</f>
        <v>0</v>
      </c>
      <c r="AA126" s="277">
        <f>IF($E126=Dict!$F$2,0,
$O126*'Шаг 1. Основные исходные данные'!$E$11*(12/'Шаг 1. Основные исходные данные'!$E$10/8)*I126*$M126*$E$18*AA$19)</f>
        <v>0</v>
      </c>
      <c r="AB126" s="277">
        <f>IF($E126=Dict!$F$2,0,
$O126*'Шаг 1. Основные исходные данные'!$E$11*(12/'Шаг 1. Основные исходные данные'!$E$10/8)*J126*$M126*$E$18*AB$19)</f>
        <v>0</v>
      </c>
      <c r="AC126" s="277">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90"/>
      <c r="T127" s="90"/>
      <c r="U127" s="93"/>
      <c r="V127" s="90"/>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43"/>
      <c r="T128" s="43"/>
      <c r="U128" s="49"/>
      <c r="V128" s="43"/>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43"/>
      <c r="T129" s="43"/>
      <c r="U129" s="49"/>
      <c r="V129" s="43"/>
      <c r="X129" s="271"/>
      <c r="Y129" s="271"/>
      <c r="Z129" s="271"/>
      <c r="AA129" s="271"/>
      <c r="AB129" s="271"/>
      <c r="AC129" s="271"/>
    </row>
    <row r="130" spans="1:29" s="37" customFormat="1" ht="132" customHeight="1" x14ac:dyDescent="0.25">
      <c r="A130" s="43"/>
      <c r="B130" s="48"/>
      <c r="C130" s="125" t="s">
        <v>62</v>
      </c>
      <c r="D130" s="125" t="s">
        <v>74</v>
      </c>
      <c r="E130" s="125" t="s">
        <v>1160</v>
      </c>
      <c r="F130" s="125" t="s">
        <v>1168</v>
      </c>
      <c r="G130" s="125" t="s">
        <v>1167</v>
      </c>
      <c r="H130" s="326" t="s">
        <v>1232</v>
      </c>
      <c r="I130" s="326"/>
      <c r="J130" s="326"/>
      <c r="K130" s="326"/>
      <c r="L130" s="326"/>
      <c r="M130" s="326"/>
      <c r="N130" s="125" t="s">
        <v>1301</v>
      </c>
      <c r="O130" s="125" t="s">
        <v>1169</v>
      </c>
      <c r="P130" s="125" t="s">
        <v>1307</v>
      </c>
      <c r="Q130" s="125" t="s">
        <v>1269</v>
      </c>
      <c r="R130" s="125" t="s">
        <v>1308</v>
      </c>
      <c r="S130" s="125" t="s">
        <v>1166</v>
      </c>
      <c r="T130" s="125" t="s">
        <v>1170</v>
      </c>
      <c r="U130" s="49"/>
      <c r="V130" s="43"/>
      <c r="X130" s="271">
        <v>1</v>
      </c>
      <c r="Y130" s="271">
        <v>2</v>
      </c>
      <c r="Z130" s="271">
        <v>3</v>
      </c>
      <c r="AA130" s="271">
        <v>4</v>
      </c>
      <c r="AB130" s="271">
        <v>5</v>
      </c>
      <c r="AC130" s="271">
        <v>6</v>
      </c>
    </row>
    <row r="131" spans="1:29" s="37" customFormat="1" ht="15.75" x14ac:dyDescent="0.25">
      <c r="A131" s="43"/>
      <c r="B131" s="48"/>
      <c r="C131" s="125"/>
      <c r="D131" s="125"/>
      <c r="E131" s="125"/>
      <c r="F131" s="125"/>
      <c r="G131" s="125"/>
      <c r="H131" s="125" t="str">
        <f>IF(1&lt;='Шаг 1. Основные исходные данные'!$E$5,"1 год","-")</f>
        <v>1 год</v>
      </c>
      <c r="I131" s="125" t="str">
        <f>IF(2&lt;='Шаг 1. Основные исходные данные'!$E$5,"2 год","-")</f>
        <v>2 год</v>
      </c>
      <c r="J131" s="125" t="str">
        <f>IF(3&lt;='Шаг 1. Основные исходные данные'!$E$5,"3 год","-")</f>
        <v>3 год</v>
      </c>
      <c r="K131" s="125" t="str">
        <f>IF(4&lt;='Шаг 1. Основные исходные данные'!$E$5,"4 год","-")</f>
        <v>4 год</v>
      </c>
      <c r="L131" s="125" t="str">
        <f>IF(5&lt;='Шаг 1. Основные исходные данные'!$E$5,"5 год","-")</f>
        <v>5 год</v>
      </c>
      <c r="M131" s="125" t="str">
        <f>IF(6&lt;='Шаг 1. Основные исходные данные'!$E$5,"6 год","-")</f>
        <v>6 год</v>
      </c>
      <c r="N131" s="125"/>
      <c r="O131" s="125"/>
      <c r="P131" s="125"/>
      <c r="Q131" s="125"/>
      <c r="R131" s="125"/>
      <c r="S131" s="125"/>
      <c r="T131" s="125"/>
      <c r="U131" s="49"/>
      <c r="V131" s="43"/>
      <c r="X131" s="279" t="s">
        <v>1221</v>
      </c>
      <c r="Y131" s="279" t="s">
        <v>1223</v>
      </c>
      <c r="Z131" s="279" t="s">
        <v>1224</v>
      </c>
      <c r="AA131" s="279" t="s">
        <v>1225</v>
      </c>
      <c r="AB131" s="279" t="s">
        <v>1226</v>
      </c>
      <c r="AC131" s="279" t="s">
        <v>1227</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43"/>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43"/>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43"/>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43"/>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43"/>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90"/>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43"/>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C3:I3"/>
    <mergeCell ref="C5:D5"/>
    <mergeCell ref="E5:F5"/>
    <mergeCell ref="H5:P8"/>
    <mergeCell ref="C6:D6"/>
    <mergeCell ref="E6:F6"/>
    <mergeCell ref="C7:D7"/>
    <mergeCell ref="E7:F7"/>
    <mergeCell ref="C8:D8"/>
    <mergeCell ref="E8:F8"/>
    <mergeCell ref="M24:M25"/>
    <mergeCell ref="G13:H13"/>
    <mergeCell ref="I13:M13"/>
    <mergeCell ref="G14:H14"/>
    <mergeCell ref="I14:M18"/>
    <mergeCell ref="G15:H15"/>
    <mergeCell ref="G16:H16"/>
    <mergeCell ref="G17:H17"/>
    <mergeCell ref="G18:H18"/>
    <mergeCell ref="C24:C25"/>
    <mergeCell ref="D24:D25"/>
    <mergeCell ref="E24:E25"/>
    <mergeCell ref="F24:K24"/>
    <mergeCell ref="L24:L25"/>
    <mergeCell ref="H34:M34"/>
    <mergeCell ref="C48:C49"/>
    <mergeCell ref="D48:D49"/>
    <mergeCell ref="E48:E49"/>
    <mergeCell ref="F48:K48"/>
    <mergeCell ref="L48:L49"/>
    <mergeCell ref="M48:M49"/>
    <mergeCell ref="H58:M58"/>
    <mergeCell ref="C72:C73"/>
    <mergeCell ref="D72:D73"/>
    <mergeCell ref="E72:E73"/>
    <mergeCell ref="F72:K72"/>
    <mergeCell ref="L72:L73"/>
    <mergeCell ref="M72:M73"/>
    <mergeCell ref="H82:M82"/>
    <mergeCell ref="C96:C97"/>
    <mergeCell ref="D96:D97"/>
    <mergeCell ref="E96:E97"/>
    <mergeCell ref="F96:K96"/>
    <mergeCell ref="L96:L97"/>
    <mergeCell ref="M96:M97"/>
    <mergeCell ref="H130:M130"/>
    <mergeCell ref="H106:M106"/>
    <mergeCell ref="C120:C121"/>
    <mergeCell ref="D120:D121"/>
    <mergeCell ref="E120:E121"/>
    <mergeCell ref="F120:K120"/>
    <mergeCell ref="L120:L121"/>
    <mergeCell ref="M120:M121"/>
  </mergeCells>
  <pageMargins left="0.7" right="0.7" top="0.75" bottom="0.75" header="0.3" footer="0.3"/>
  <pageSetup paperSize="9" scale="19" orientation="portrait" r:id="rId1"/>
  <extLst>
    <ext xmlns:x14="http://schemas.microsoft.com/office/spreadsheetml/2009/9/main" uri="{78C0D931-6437-407d-A8EE-F0AAD7539E65}">
      <x14:conditionalFormattings>
        <x14:conditionalFormatting xmlns:xm="http://schemas.microsoft.com/office/excel/2006/main">
          <x14:cfRule type="expression" priority="18" id="{64F655D2-91AA-4347-96E8-396AAA5957A3}">
            <xm:f>(E36=Dict!$I$2)</xm:f>
            <x14:dxf>
              <fill>
                <patternFill patternType="lightUp">
                  <bgColor theme="2"/>
                </patternFill>
              </fill>
            </x14:dxf>
          </x14:cfRule>
          <xm:sqref>F36:F40</xm:sqref>
        </x14:conditionalFormatting>
        <x14:conditionalFormatting xmlns:xm="http://schemas.microsoft.com/office/excel/2006/main">
          <x14:cfRule type="expression" priority="14" id="{62F6DC4E-55EE-46AC-A4D0-F6076AAAA212}">
            <xm:f>(E60=Dict!$I$2)</xm:f>
            <x14:dxf>
              <fill>
                <patternFill patternType="lightUp">
                  <bgColor theme="2"/>
                </patternFill>
              </fill>
            </x14:dxf>
          </x14:cfRule>
          <xm:sqref>F60:F64</xm:sqref>
        </x14:conditionalFormatting>
        <x14:conditionalFormatting xmlns:xm="http://schemas.microsoft.com/office/excel/2006/main">
          <x14:cfRule type="expression" priority="10" id="{A3E4A8CA-6B5B-466C-B797-8884508C7065}">
            <xm:f>(E84=Dict!$I$2)</xm:f>
            <x14:dxf>
              <fill>
                <patternFill patternType="lightUp">
                  <bgColor theme="2"/>
                </patternFill>
              </fill>
            </x14:dxf>
          </x14:cfRule>
          <xm:sqref>F84:F88</xm:sqref>
        </x14:conditionalFormatting>
        <x14:conditionalFormatting xmlns:xm="http://schemas.microsoft.com/office/excel/2006/main">
          <x14:cfRule type="expression" priority="6" id="{049C2958-60D8-44BB-AD39-4916044ADBB2}">
            <xm:f>(E108=Dict!$I$2)</xm:f>
            <x14:dxf>
              <fill>
                <patternFill patternType="lightUp">
                  <bgColor theme="2"/>
                </patternFill>
              </fill>
            </x14:dxf>
          </x14:cfRule>
          <xm:sqref>F108:F112</xm:sqref>
        </x14:conditionalFormatting>
        <x14:conditionalFormatting xmlns:xm="http://schemas.microsoft.com/office/excel/2006/main">
          <x14:cfRule type="expression" priority="2" id="{BC6C978B-4BA3-4E71-9596-FA79D7C9A1FD}">
            <xm:f>(E132=Dict!$I$2)</xm:f>
            <x14:dxf>
              <fill>
                <patternFill patternType="lightUp">
                  <bgColor theme="2"/>
                </patternFill>
              </fill>
            </x14:dxf>
          </x14:cfRule>
          <xm:sqref>F132:F136</xm:sqref>
        </x14:conditionalFormatting>
        <x14:conditionalFormatting xmlns:xm="http://schemas.microsoft.com/office/excel/2006/main">
          <x14:cfRule type="expression" priority="19" id="{E019CD3C-805E-490D-9FBB-22FD60760417}">
            <xm:f>OR(E36=Dict!$I$3,E36=Dict!$I$4)</xm:f>
            <x14:dxf>
              <fill>
                <patternFill patternType="lightUp">
                  <bgColor theme="2"/>
                </patternFill>
              </fill>
            </x14:dxf>
          </x14:cfRule>
          <xm:sqref>G36:G40</xm:sqref>
        </x14:conditionalFormatting>
        <x14:conditionalFormatting xmlns:xm="http://schemas.microsoft.com/office/excel/2006/main">
          <x14:cfRule type="expression" priority="15" id="{07A28C58-3E88-4CDB-B4C6-DBC1D08388F7}">
            <xm:f>OR(E60=Dict!$I$3,E60=Dict!$I$4)</xm:f>
            <x14:dxf>
              <fill>
                <patternFill patternType="lightUp">
                  <bgColor theme="2"/>
                </patternFill>
              </fill>
            </x14:dxf>
          </x14:cfRule>
          <xm:sqref>G60:G64</xm:sqref>
        </x14:conditionalFormatting>
        <x14:conditionalFormatting xmlns:xm="http://schemas.microsoft.com/office/excel/2006/main">
          <x14:cfRule type="expression" priority="11" id="{260C326E-F1D6-4A49-94E1-73B0308D6B4A}">
            <xm:f>OR(E84=Dict!$I$3,E84=Dict!$I$4)</xm:f>
            <x14:dxf>
              <fill>
                <patternFill patternType="lightUp">
                  <bgColor theme="2"/>
                </patternFill>
              </fill>
            </x14:dxf>
          </x14:cfRule>
          <xm:sqref>G84:G88</xm:sqref>
        </x14:conditionalFormatting>
        <x14:conditionalFormatting xmlns:xm="http://schemas.microsoft.com/office/excel/2006/main">
          <x14:cfRule type="expression" priority="7" id="{EA1F7735-B031-45B7-9800-D63370ED6D1B}">
            <xm:f>OR(E108=Dict!$I$3,E108=Dict!$I$4)</xm:f>
            <x14:dxf>
              <fill>
                <patternFill patternType="lightUp">
                  <bgColor theme="2"/>
                </patternFill>
              </fill>
            </x14:dxf>
          </x14:cfRule>
          <xm:sqref>G108:G112</xm:sqref>
        </x14:conditionalFormatting>
        <x14:conditionalFormatting xmlns:xm="http://schemas.microsoft.com/office/excel/2006/main">
          <x14:cfRule type="expression" priority="3" id="{269B1441-AB3D-4E1E-9013-F38775D149C4}">
            <xm:f>OR(E132=Dict!$I$3,E132=Dict!$I$4)</xm:f>
            <x14:dxf>
              <fill>
                <patternFill patternType="lightUp">
                  <bgColor theme="2"/>
                </patternFill>
              </fill>
            </x14:dxf>
          </x14:cfRule>
          <xm:sqref>G132:G136</xm:sqref>
        </x14:conditionalFormatting>
        <x14:conditionalFormatting xmlns:xm="http://schemas.microsoft.com/office/excel/2006/main">
          <x14:cfRule type="expression" priority="17" id="{8F821E81-D844-4F66-B239-C0B72859884A}">
            <xm:f>OR($E26=Dict!$F$2,G$25="-")</xm:f>
            <x14:dxf>
              <fill>
                <patternFill patternType="lightUp"/>
              </fill>
            </x14:dxf>
          </x14:cfRule>
          <xm:sqref>G26:K30</xm:sqref>
        </x14:conditionalFormatting>
        <x14:conditionalFormatting xmlns:xm="http://schemas.microsoft.com/office/excel/2006/main">
          <x14:cfRule type="expression" priority="13" id="{2E0E9C7F-E781-4AD9-9F92-978C731A4784}">
            <xm:f>OR($E50=Dict!$F$2,G$25="-")</xm:f>
            <x14:dxf>
              <fill>
                <patternFill patternType="lightUp"/>
              </fill>
            </x14:dxf>
          </x14:cfRule>
          <xm:sqref>G50:K54</xm:sqref>
        </x14:conditionalFormatting>
        <x14:conditionalFormatting xmlns:xm="http://schemas.microsoft.com/office/excel/2006/main">
          <x14:cfRule type="expression" priority="9" id="{7CCBE872-BA1E-4EA4-9516-9ED845BEE1DD}">
            <xm:f>OR($E74=Dict!$F$2,G$25="-")</xm:f>
            <x14:dxf>
              <fill>
                <patternFill patternType="lightUp"/>
              </fill>
            </x14:dxf>
          </x14:cfRule>
          <xm:sqref>G74:K78</xm:sqref>
        </x14:conditionalFormatting>
        <x14:conditionalFormatting xmlns:xm="http://schemas.microsoft.com/office/excel/2006/main">
          <x14:cfRule type="expression" priority="5" id="{187CF988-540E-44C9-A04B-9D12997C1324}">
            <xm:f>OR($E98=Dict!$F$2,G$25="-")</xm:f>
            <x14:dxf>
              <fill>
                <patternFill patternType="lightUp"/>
              </fill>
            </x14:dxf>
          </x14:cfRule>
          <xm:sqref>G98:K102</xm:sqref>
        </x14:conditionalFormatting>
        <x14:conditionalFormatting xmlns:xm="http://schemas.microsoft.com/office/excel/2006/main">
          <x14:cfRule type="expression" priority="1" id="{7804E3AF-04EA-43F4-92E5-9D4A2416BDE6}">
            <xm:f>OR($E122=Dict!$F$2,G$25="-")</xm:f>
            <x14:dxf>
              <fill>
                <patternFill patternType="lightUp"/>
              </fill>
            </x14:dxf>
          </x14:cfRule>
          <xm:sqref>G122:K126</xm:sqref>
        </x14:conditionalFormatting>
        <x14:conditionalFormatting xmlns:xm="http://schemas.microsoft.com/office/excel/2006/main">
          <x14:cfRule type="expression" priority="20" id="{4E9D2F08-EF6D-40A7-B5FC-33D385BCE862}">
            <xm:f>OR($E36=Dict!$I$2,$F36=Dict!$J$2,H$35="-")</xm:f>
            <x14:dxf>
              <fill>
                <patternFill patternType="lightUp">
                  <bgColor theme="2"/>
                </patternFill>
              </fill>
            </x14:dxf>
          </x14:cfRule>
          <xm:sqref>H36:M40</xm:sqref>
        </x14:conditionalFormatting>
        <x14:conditionalFormatting xmlns:xm="http://schemas.microsoft.com/office/excel/2006/main">
          <x14:cfRule type="expression" priority="16" id="{BF4FC1A6-01A6-4C74-BEC2-29015728A9BD}">
            <xm:f>OR($E60=Dict!$I$2,$F60=Dict!$J$2,H$35="-")</xm:f>
            <x14:dxf>
              <fill>
                <patternFill patternType="lightUp">
                  <bgColor theme="2"/>
                </patternFill>
              </fill>
            </x14:dxf>
          </x14:cfRule>
          <xm:sqref>H60:M64</xm:sqref>
        </x14:conditionalFormatting>
        <x14:conditionalFormatting xmlns:xm="http://schemas.microsoft.com/office/excel/2006/main">
          <x14:cfRule type="expression" priority="12" id="{7F6CBC6A-601B-4A16-BAC9-9124BD7FE12E}">
            <xm:f>OR($E84=Dict!$I$2,$F84=Dict!$J$2,H$35="-")</xm:f>
            <x14:dxf>
              <fill>
                <patternFill patternType="lightUp">
                  <bgColor theme="2"/>
                </patternFill>
              </fill>
            </x14:dxf>
          </x14:cfRule>
          <xm:sqref>H84:M88</xm:sqref>
        </x14:conditionalFormatting>
        <x14:conditionalFormatting xmlns:xm="http://schemas.microsoft.com/office/excel/2006/main">
          <x14:cfRule type="expression" priority="8" id="{6196F7F4-00D0-457C-912A-1DAD7A173A75}">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4" id="{7F9CBCDA-1F10-468C-80AC-460CAB4B94F2}">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Dict!$F$2:$F$3</xm:f>
          </x14:formula1>
          <xm:sqref>E26:E30 E50:E54 E74:E78 E98:E102 E122:E126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Dict!$J$2:$J$3</xm:f>
          </x14:formula1>
          <xm:sqref>F36:F40 F60:F64 F84:F88 F108:F112 F132:F136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N90"/>
  <sheetViews>
    <sheetView topLeftCell="B1" zoomScale="70" zoomScaleNormal="70" workbookViewId="0"/>
  </sheetViews>
  <sheetFormatPr defaultColWidth="8.85546875" defaultRowHeight="15.75" x14ac:dyDescent="0.25"/>
  <cols>
    <col min="1" max="2" width="5.7109375" style="37" customWidth="1"/>
    <col min="3" max="3" width="8.42578125" style="37" customWidth="1"/>
    <col min="4" max="4" width="37.85546875" style="37" customWidth="1"/>
    <col min="5" max="5" width="25.140625" style="37" customWidth="1"/>
    <col min="6" max="6" width="19.85546875" style="37" customWidth="1"/>
    <col min="7" max="7" width="23.7109375" style="37" customWidth="1"/>
    <col min="8" max="9" width="18.42578125" style="37" customWidth="1"/>
    <col min="10" max="11" width="17.85546875" style="37" customWidth="1"/>
    <col min="12" max="12" width="22.5703125" style="37" customWidth="1"/>
    <col min="13" max="13" width="19.42578125" style="37" customWidth="1"/>
    <col min="14" max="15" width="12" style="37" customWidth="1"/>
    <col min="16" max="16" width="21" style="37" customWidth="1"/>
    <col min="17" max="20" width="19.5703125" style="37" customWidth="1"/>
    <col min="21" max="21" width="14.42578125" style="37" customWidth="1"/>
    <col min="22" max="22" width="8.85546875" style="37"/>
    <col min="23" max="23" width="12.28515625" style="270" hidden="1" customWidth="1"/>
    <col min="24" max="28" width="10.42578125" style="270" hidden="1" customWidth="1"/>
    <col min="29" max="40" width="8.85546875" style="271" hidden="1" customWidth="1"/>
    <col min="41" max="16384" width="8.85546875" style="37"/>
  </cols>
  <sheetData>
    <row r="1" spans="1:40" x14ac:dyDescent="0.25">
      <c r="A1" s="43"/>
      <c r="B1" s="43"/>
      <c r="C1" s="43"/>
      <c r="D1" s="43"/>
      <c r="E1" s="43"/>
      <c r="F1" s="43"/>
      <c r="G1" s="43"/>
      <c r="H1" s="43"/>
      <c r="I1" s="43"/>
      <c r="J1" s="43"/>
      <c r="K1" s="43"/>
      <c r="L1" s="43"/>
      <c r="M1" s="43"/>
      <c r="N1" s="43"/>
      <c r="O1" s="43"/>
      <c r="P1" s="43"/>
      <c r="Q1" s="43"/>
      <c r="R1" s="43"/>
      <c r="S1" s="43"/>
      <c r="T1" s="43"/>
      <c r="U1" s="43"/>
    </row>
    <row r="2" spans="1:40" ht="18" x14ac:dyDescent="0.25">
      <c r="A2" s="43"/>
      <c r="B2" s="43"/>
      <c r="C2" s="33" t="s">
        <v>1174</v>
      </c>
      <c r="D2" s="43"/>
      <c r="E2" s="43"/>
      <c r="F2" s="43"/>
      <c r="G2" s="43"/>
      <c r="H2" s="43"/>
      <c r="I2" s="43"/>
      <c r="J2" s="43"/>
      <c r="K2" s="43"/>
      <c r="L2" s="43"/>
      <c r="M2" s="43"/>
      <c r="N2" s="43"/>
      <c r="O2" s="43"/>
      <c r="P2" s="43"/>
      <c r="Q2" s="43"/>
      <c r="R2" s="43"/>
      <c r="S2" s="43"/>
      <c r="T2" s="43"/>
      <c r="U2" s="43"/>
    </row>
    <row r="3" spans="1:40" ht="127.5" customHeight="1" x14ac:dyDescent="0.25">
      <c r="A3" s="43"/>
      <c r="B3" s="43"/>
      <c r="C3" s="341" t="s">
        <v>1175</v>
      </c>
      <c r="D3" s="341"/>
      <c r="E3" s="341"/>
      <c r="F3" s="341"/>
      <c r="G3" s="341"/>
      <c r="H3" s="341"/>
      <c r="I3" s="43"/>
      <c r="J3" s="43"/>
      <c r="K3" s="43"/>
      <c r="L3" s="43"/>
      <c r="M3" s="43"/>
      <c r="N3" s="43"/>
      <c r="O3" s="43"/>
      <c r="P3" s="43"/>
      <c r="Q3" s="43"/>
      <c r="R3" s="43"/>
      <c r="S3" s="43"/>
      <c r="T3" s="43"/>
      <c r="U3" s="43"/>
    </row>
    <row r="4" spans="1:40" ht="19.899999999999999" customHeight="1" x14ac:dyDescent="0.25">
      <c r="A4" s="43"/>
      <c r="B4" s="43"/>
      <c r="C4" s="40" t="s">
        <v>135</v>
      </c>
      <c r="D4" s="43"/>
      <c r="E4" s="43"/>
      <c r="F4" s="43"/>
      <c r="G4" s="122"/>
      <c r="H4" s="43"/>
      <c r="I4" s="43"/>
      <c r="J4" s="122" t="s">
        <v>156</v>
      </c>
      <c r="K4" s="43"/>
      <c r="L4" s="43"/>
      <c r="M4" s="43"/>
      <c r="N4" s="43"/>
      <c r="O4" s="43"/>
      <c r="P4" s="43"/>
      <c r="Q4" s="43"/>
      <c r="R4" s="43"/>
      <c r="S4" s="43"/>
      <c r="T4" s="43"/>
      <c r="U4" s="43"/>
      <c r="W4" s="280" t="s">
        <v>1228</v>
      </c>
      <c r="X4" s="271"/>
      <c r="Y4" s="271"/>
      <c r="Z4" s="271"/>
      <c r="AA4" s="271"/>
      <c r="AB4" s="271"/>
    </row>
    <row r="5" spans="1:40" s="91" customFormat="1" ht="47.25" x14ac:dyDescent="0.25">
      <c r="A5" s="90"/>
      <c r="B5" s="90"/>
      <c r="C5" s="86" t="s">
        <v>62</v>
      </c>
      <c r="D5" s="86" t="s">
        <v>86</v>
      </c>
      <c r="E5" s="285" t="s">
        <v>1236</v>
      </c>
      <c r="F5" s="285" t="s">
        <v>1237</v>
      </c>
      <c r="G5" s="90"/>
      <c r="H5" s="90"/>
      <c r="I5" s="90"/>
      <c r="J5" s="357"/>
      <c r="K5" s="357"/>
      <c r="L5" s="357"/>
      <c r="M5" s="357"/>
      <c r="N5" s="357"/>
      <c r="O5" s="357"/>
      <c r="P5" s="357"/>
      <c r="Q5" s="357"/>
      <c r="R5" s="90"/>
      <c r="S5" s="90"/>
      <c r="T5" s="90"/>
      <c r="U5" s="90"/>
      <c r="V5" s="37"/>
      <c r="W5" s="271"/>
      <c r="X5" s="271" t="s">
        <v>1229</v>
      </c>
      <c r="Y5" s="271"/>
      <c r="Z5" s="271"/>
      <c r="AA5" s="271"/>
      <c r="AB5" s="271"/>
      <c r="AC5" s="295"/>
      <c r="AD5" s="295"/>
      <c r="AE5" s="295"/>
      <c r="AF5" s="295"/>
      <c r="AG5" s="295"/>
      <c r="AH5" s="295"/>
      <c r="AI5" s="295"/>
      <c r="AJ5" s="295"/>
      <c r="AK5" s="295"/>
      <c r="AL5" s="295"/>
      <c r="AM5" s="295"/>
      <c r="AN5" s="295"/>
    </row>
    <row r="6" spans="1:40" x14ac:dyDescent="0.25">
      <c r="A6" s="43"/>
      <c r="B6" s="43"/>
      <c r="C6" s="275" t="str">
        <f>IF(LEN(D6)&gt;0,1,"")</f>
        <v/>
      </c>
      <c r="D6" s="125"/>
      <c r="E6" s="260">
        <f>IFERROR(S35,"Ошибка: не заполнен параметр в п.4.1")</f>
        <v>0</v>
      </c>
      <c r="F6" s="260">
        <f>IFERROR(T35,"Ошибка: не заполнен параметр в п.4.1")</f>
        <v>0</v>
      </c>
      <c r="G6" s="90"/>
      <c r="H6" s="43"/>
      <c r="I6" s="43"/>
      <c r="J6" s="357"/>
      <c r="K6" s="357"/>
      <c r="L6" s="357"/>
      <c r="M6" s="357"/>
      <c r="N6" s="357"/>
      <c r="O6" s="357"/>
      <c r="P6" s="357"/>
      <c r="Q6" s="357"/>
      <c r="R6" s="43"/>
      <c r="S6" s="43"/>
      <c r="T6" s="43"/>
      <c r="U6" s="43"/>
      <c r="W6" s="271"/>
      <c r="X6" s="271" t="s">
        <v>1230</v>
      </c>
      <c r="Y6" s="271"/>
      <c r="Z6" s="271"/>
      <c r="AA6" s="271"/>
      <c r="AB6" s="271"/>
    </row>
    <row r="7" spans="1:40" x14ac:dyDescent="0.25">
      <c r="A7" s="43"/>
      <c r="B7" s="43"/>
      <c r="C7" s="275" t="str">
        <f>IF(LEN(D7)&gt;0,C6+1,"")</f>
        <v/>
      </c>
      <c r="D7" s="125"/>
      <c r="E7" s="260">
        <f>IFERROR(S47,"Ошибка: не заполнен параметр в п.4.1")</f>
        <v>0</v>
      </c>
      <c r="F7" s="260">
        <f>IFERROR(T47,"Ошибка: не заполнен параметр в п.4.1")</f>
        <v>0</v>
      </c>
      <c r="G7" s="90"/>
      <c r="H7" s="43"/>
      <c r="I7" s="43"/>
      <c r="J7" s="357"/>
      <c r="K7" s="357"/>
      <c r="L7" s="357"/>
      <c r="M7" s="357"/>
      <c r="N7" s="357"/>
      <c r="O7" s="357"/>
      <c r="P7" s="357"/>
      <c r="Q7" s="357"/>
      <c r="R7" s="43"/>
      <c r="S7" s="43"/>
      <c r="T7" s="43"/>
      <c r="U7" s="43"/>
      <c r="W7" s="279" t="s">
        <v>1221</v>
      </c>
      <c r="X7" s="279" t="s">
        <v>1223</v>
      </c>
      <c r="Y7" s="279" t="s">
        <v>1224</v>
      </c>
      <c r="Z7" s="279" t="s">
        <v>1225</v>
      </c>
      <c r="AA7" s="279" t="s">
        <v>1226</v>
      </c>
      <c r="AB7" s="279" t="s">
        <v>1227</v>
      </c>
    </row>
    <row r="8" spans="1:40" x14ac:dyDescent="0.25">
      <c r="A8" s="43"/>
      <c r="B8" s="43"/>
      <c r="C8" s="275" t="str">
        <f>IF(LEN(D8)&gt;0,C7+1,"")</f>
        <v/>
      </c>
      <c r="D8" s="125"/>
      <c r="E8" s="260">
        <f>IFERROR(S59,"Ошибка: не заполнен параметр в п.4.1")</f>
        <v>0</v>
      </c>
      <c r="F8" s="260">
        <f>IFERROR(T59,"Ошибка: не заполнен параметр в п.4.1")</f>
        <v>0</v>
      </c>
      <c r="G8" s="90"/>
      <c r="H8" s="43"/>
      <c r="I8" s="43"/>
      <c r="J8" s="357"/>
      <c r="K8" s="357"/>
      <c r="L8" s="357"/>
      <c r="M8" s="357"/>
      <c r="N8" s="357"/>
      <c r="O8" s="357"/>
      <c r="P8" s="357"/>
      <c r="Q8" s="357"/>
      <c r="R8" s="43"/>
      <c r="S8" s="43"/>
      <c r="T8" s="43"/>
      <c r="U8" s="43"/>
      <c r="W8" s="272">
        <f>IF(1&lt;='Шаг 1. Основные исходные данные'!$E$5,1,0)</f>
        <v>1</v>
      </c>
      <c r="X8" s="272">
        <f>IF(2&lt;='Шаг 1. Основные исходные данные'!$E$5,2,0)</f>
        <v>2</v>
      </c>
      <c r="Y8" s="272">
        <f>IF(3&lt;='Шаг 1. Основные исходные данные'!$E$5,3,0)</f>
        <v>3</v>
      </c>
      <c r="Z8" s="272">
        <f>IF(4&lt;='Шаг 1. Основные исходные данные'!$E$5,4,0)</f>
        <v>4</v>
      </c>
      <c r="AA8" s="272">
        <f>IF(5&lt;='Шаг 1. Основные исходные данные'!$E$5,5,0)</f>
        <v>5</v>
      </c>
      <c r="AB8" s="272">
        <f>IF(6&lt;='Шаг 1. Основные исходные данные'!$E$5,6,0)</f>
        <v>6</v>
      </c>
    </row>
    <row r="9" spans="1:40" x14ac:dyDescent="0.25">
      <c r="A9" s="43"/>
      <c r="B9" s="43"/>
      <c r="C9" s="275" t="str">
        <f>IF(LEN(D9)&gt;0,C8+1,"")</f>
        <v/>
      </c>
      <c r="D9" s="125"/>
      <c r="E9" s="260">
        <f>IFERROR(S71,"Ошибка: не заполнен параметр в п.4.1")</f>
        <v>0</v>
      </c>
      <c r="F9" s="260">
        <f>IFERROR(T71,"Ошибка: не заполнен параметр в п.4.1")</f>
        <v>0</v>
      </c>
      <c r="G9" s="90"/>
      <c r="H9" s="43"/>
      <c r="I9" s="43"/>
      <c r="J9" s="357"/>
      <c r="K9" s="357"/>
      <c r="L9" s="357"/>
      <c r="M9" s="357"/>
      <c r="N9" s="357"/>
      <c r="O9" s="357"/>
      <c r="P9" s="357"/>
      <c r="Q9" s="357"/>
      <c r="R9" s="43"/>
      <c r="S9" s="43"/>
      <c r="T9" s="43"/>
      <c r="U9" s="43"/>
      <c r="W9" s="271">
        <v>1</v>
      </c>
      <c r="X9" s="271">
        <f>IF(X$8=0,0,(1+'Шаг 1. Основные исходные данные'!$E$12/100))</f>
        <v>1.04457</v>
      </c>
      <c r="Y9" s="271">
        <f>IF(Y$8=0,0,X9*(1+'Шаг 1. Основные исходные данные'!$E$13/100))</f>
        <v>1.0866243882</v>
      </c>
      <c r="Z9" s="271">
        <f>IF(Z$8=0,0,Y9*(1+'Шаг 1. Основные исходные данные'!$E$14/100))</f>
        <v>1.1305022809955161</v>
      </c>
      <c r="AA9" s="271">
        <f>IF(AA$8=0,0,Z9*(1+'Шаг 1. Основные исходные данные'!$E$15/100))</f>
        <v>1.1761519631021151</v>
      </c>
      <c r="AB9" s="271">
        <f>IF(AB$8=0,0,AA9*(1+'Шаг 1. Основные исходные данные'!$E$16/100))</f>
        <v>1.2236449793721786</v>
      </c>
    </row>
    <row r="10" spans="1:40" x14ac:dyDescent="0.25">
      <c r="A10" s="43"/>
      <c r="B10" s="43"/>
      <c r="C10" s="275" t="str">
        <f>IF(LEN(D10)&gt;0,C9+1,"")</f>
        <v/>
      </c>
      <c r="D10" s="125"/>
      <c r="E10" s="260">
        <f>IFERROR(S83,"Ошибка: не заполнен параметр в п.4.1")</f>
        <v>0</v>
      </c>
      <c r="F10" s="260">
        <f>IFERROR(T83,"Ошибка: не заполнен параметр в п.4.1")</f>
        <v>0</v>
      </c>
      <c r="G10" s="90"/>
      <c r="H10" s="43"/>
      <c r="I10" s="43"/>
      <c r="J10" s="357"/>
      <c r="K10" s="357"/>
      <c r="L10" s="357"/>
      <c r="M10" s="357"/>
      <c r="N10" s="357"/>
      <c r="O10" s="357"/>
      <c r="P10" s="357"/>
      <c r="Q10" s="357"/>
      <c r="R10" s="43"/>
      <c r="S10" s="43"/>
      <c r="T10" s="43"/>
      <c r="U10" s="43"/>
      <c r="W10" s="271">
        <v>1</v>
      </c>
      <c r="X10" s="271">
        <f>IF(X$8=0,0,(1+'Шаг 1. Основные исходные данные'!$E$17/100))</f>
        <v>1.1321600000000001</v>
      </c>
      <c r="Y10" s="271">
        <f>IF(Y$8=0,0,X10*(1+'Шаг 1. Основные исходные данные'!$E$18/100))</f>
        <v>1.2478780735999999</v>
      </c>
      <c r="Z10" s="271">
        <f>IF(Z$8=0,0,Y10*(1+'Шаг 1. Основные исходные данные'!$E$19/100))</f>
        <v>1.35126477199776</v>
      </c>
      <c r="AA10" s="271">
        <f>IF(AA$8=0,0,Z10*(1+'Шаг 1. Основные исходные данные'!$E$20/100))</f>
        <v>1.4632170583577746</v>
      </c>
      <c r="AB10" s="271">
        <f>IF(AB$8=0,0,AA10*(1+'Шаг 1. Основные исходные данные'!$E$21/100))</f>
        <v>1.5844445916427163</v>
      </c>
    </row>
    <row r="11" spans="1:40" s="91" customFormat="1" ht="19.899999999999999" customHeight="1" x14ac:dyDescent="0.25">
      <c r="A11" s="90"/>
      <c r="B11" s="90"/>
      <c r="C11" s="358" t="s">
        <v>96</v>
      </c>
      <c r="D11" s="358"/>
      <c r="E11" s="259">
        <f>IFERROR(VLOOKUP("Ошибка: не заполнен параметр в п.4.1",E6:E10,1,0),SUM(E6:E10))</f>
        <v>0</v>
      </c>
      <c r="F11" s="259">
        <f>IFERROR(VLOOKUP("Ошибка: не заполнен параметр в п.4.1",F6:F10,1,0),SUM(F6:F10))</f>
        <v>0</v>
      </c>
      <c r="G11" s="90"/>
      <c r="H11" s="90"/>
      <c r="I11" s="90"/>
      <c r="J11" s="357"/>
      <c r="K11" s="357"/>
      <c r="L11" s="357"/>
      <c r="M11" s="357"/>
      <c r="N11" s="357"/>
      <c r="O11" s="357"/>
      <c r="P11" s="357"/>
      <c r="Q11" s="357"/>
      <c r="R11" s="90"/>
      <c r="S11" s="90"/>
      <c r="T11" s="90"/>
      <c r="U11" s="90"/>
      <c r="V11" s="37"/>
      <c r="W11" s="271"/>
      <c r="X11" s="271"/>
      <c r="Y11" s="271"/>
      <c r="Z11" s="271"/>
      <c r="AA11" s="271"/>
      <c r="AB11" s="271"/>
      <c r="AC11" s="295"/>
      <c r="AD11" s="295"/>
      <c r="AE11" s="295"/>
      <c r="AF11" s="295"/>
      <c r="AG11" s="295"/>
      <c r="AH11" s="295"/>
      <c r="AI11" s="295"/>
      <c r="AJ11" s="295"/>
      <c r="AK11" s="295"/>
      <c r="AL11" s="295"/>
      <c r="AM11" s="295"/>
      <c r="AN11" s="295"/>
    </row>
    <row r="12" spans="1:40" ht="31.5" customHeight="1" x14ac:dyDescent="0.25">
      <c r="A12" s="43"/>
      <c r="B12" s="43"/>
      <c r="C12" s="341" t="s">
        <v>87</v>
      </c>
      <c r="D12" s="341"/>
      <c r="E12" s="341"/>
      <c r="F12" s="341"/>
      <c r="G12" s="341"/>
      <c r="H12" s="341"/>
      <c r="I12" s="43"/>
      <c r="J12" s="43"/>
      <c r="K12" s="43"/>
      <c r="L12" s="43"/>
      <c r="M12" s="43"/>
      <c r="N12" s="43"/>
      <c r="O12" s="43"/>
      <c r="P12" s="43"/>
      <c r="Q12" s="43"/>
      <c r="R12" s="43"/>
      <c r="S12" s="43"/>
      <c r="T12" s="43"/>
      <c r="U12" s="43"/>
    </row>
    <row r="13" spans="1:40" x14ac:dyDescent="0.25">
      <c r="A13" s="43"/>
      <c r="B13" s="43"/>
      <c r="C13" s="43"/>
      <c r="D13" s="43"/>
      <c r="E13" s="43"/>
      <c r="F13" s="43"/>
      <c r="G13" s="43"/>
      <c r="H13" s="43"/>
      <c r="I13" s="43"/>
      <c r="J13" s="43"/>
      <c r="K13" s="43"/>
      <c r="L13" s="43"/>
      <c r="M13" s="43"/>
      <c r="N13" s="43"/>
      <c r="O13" s="43"/>
      <c r="P13" s="43"/>
      <c r="Q13" s="43"/>
      <c r="R13" s="43"/>
      <c r="S13" s="43"/>
      <c r="T13" s="43"/>
      <c r="U13" s="43"/>
    </row>
    <row r="14" spans="1:40" x14ac:dyDescent="0.25">
      <c r="A14" s="43"/>
      <c r="B14" s="43"/>
      <c r="C14" s="43"/>
      <c r="D14" s="43"/>
      <c r="E14" s="43"/>
      <c r="F14" s="43"/>
      <c r="G14" s="43"/>
      <c r="H14" s="43"/>
      <c r="I14" s="43"/>
      <c r="J14" s="43"/>
      <c r="K14" s="43"/>
      <c r="L14" s="43"/>
      <c r="M14" s="43"/>
      <c r="N14" s="43"/>
      <c r="O14" s="43"/>
      <c r="P14" s="43"/>
      <c r="Q14" s="43"/>
      <c r="R14" s="43"/>
      <c r="S14" s="43"/>
      <c r="T14" s="43"/>
      <c r="U14" s="43"/>
    </row>
    <row r="15" spans="1:40" x14ac:dyDescent="0.25">
      <c r="A15" s="43"/>
      <c r="B15" s="43"/>
      <c r="C15" s="36" t="s">
        <v>83</v>
      </c>
      <c r="D15" s="43"/>
      <c r="E15" s="43"/>
      <c r="F15" s="43"/>
      <c r="G15" s="43"/>
      <c r="H15" s="43"/>
      <c r="I15" s="43"/>
      <c r="J15" s="43"/>
      <c r="K15" s="43"/>
      <c r="L15" s="43"/>
      <c r="M15" s="43"/>
      <c r="N15" s="43"/>
      <c r="O15" s="43"/>
      <c r="P15" s="43"/>
      <c r="Q15" s="43"/>
      <c r="R15" s="43"/>
      <c r="S15" s="43"/>
      <c r="T15" s="43"/>
      <c r="U15" s="43"/>
    </row>
    <row r="16" spans="1:40" x14ac:dyDescent="0.25">
      <c r="A16" s="43"/>
      <c r="B16" s="43"/>
      <c r="C16" s="43"/>
      <c r="D16" s="43"/>
      <c r="E16" s="43"/>
      <c r="F16" s="43"/>
      <c r="G16" s="43"/>
      <c r="H16" s="43"/>
      <c r="I16" s="43"/>
      <c r="J16" s="43"/>
      <c r="K16" s="43"/>
      <c r="L16" s="43"/>
      <c r="M16" s="43"/>
      <c r="N16" s="43"/>
      <c r="O16" s="43"/>
      <c r="P16" s="43"/>
      <c r="Q16" s="43"/>
      <c r="R16" s="43"/>
      <c r="S16" s="43"/>
      <c r="T16" s="43"/>
      <c r="U16" s="43"/>
    </row>
    <row r="17" spans="1:40" ht="19.899999999999999" customHeight="1" x14ac:dyDescent="0.25">
      <c r="A17" s="43"/>
      <c r="B17" s="43"/>
      <c r="C17" s="326" t="s">
        <v>62</v>
      </c>
      <c r="D17" s="326" t="s">
        <v>84</v>
      </c>
      <c r="E17" s="326" t="s">
        <v>15</v>
      </c>
      <c r="F17" s="326" t="s">
        <v>85</v>
      </c>
      <c r="G17" s="359" t="s">
        <v>1302</v>
      </c>
      <c r="H17" s="361" t="s">
        <v>32</v>
      </c>
      <c r="I17" s="362"/>
      <c r="J17" s="362"/>
      <c r="K17" s="362"/>
      <c r="L17" s="362"/>
      <c r="M17" s="362"/>
      <c r="N17" s="362"/>
      <c r="O17" s="363"/>
      <c r="P17" s="43"/>
      <c r="Q17" s="43"/>
      <c r="R17" s="43"/>
      <c r="S17" s="43"/>
      <c r="T17" s="43"/>
      <c r="U17" s="43"/>
    </row>
    <row r="18" spans="1:40" ht="126" customHeight="1" x14ac:dyDescent="0.25">
      <c r="A18" s="43"/>
      <c r="B18" s="43"/>
      <c r="C18" s="326"/>
      <c r="D18" s="326"/>
      <c r="E18" s="326"/>
      <c r="F18" s="326"/>
      <c r="G18" s="360"/>
      <c r="H18" s="77" t="s">
        <v>89</v>
      </c>
      <c r="I18" s="77" t="s">
        <v>1303</v>
      </c>
      <c r="J18" s="77" t="s">
        <v>1238</v>
      </c>
      <c r="K18" s="77" t="s">
        <v>1304</v>
      </c>
      <c r="L18" s="77" t="s">
        <v>88</v>
      </c>
      <c r="M18" s="77" t="s">
        <v>90</v>
      </c>
      <c r="N18" s="364" t="s">
        <v>91</v>
      </c>
      <c r="O18" s="365"/>
      <c r="P18" s="43"/>
      <c r="Q18" s="43"/>
      <c r="R18" s="43"/>
      <c r="S18" s="43"/>
      <c r="T18" s="43"/>
      <c r="U18" s="43"/>
      <c r="W18" s="293" t="s">
        <v>1242</v>
      </c>
      <c r="X18" s="293" t="s">
        <v>1245</v>
      </c>
      <c r="Y18" s="293" t="s">
        <v>1249</v>
      </c>
    </row>
    <row r="19" spans="1:40" x14ac:dyDescent="0.25">
      <c r="A19" s="43"/>
      <c r="B19" s="43"/>
      <c r="C19" s="35" t="str">
        <f>IF(LEN(D19)&gt;0,1,"")</f>
        <v/>
      </c>
      <c r="D19" s="76"/>
      <c r="E19" s="76"/>
      <c r="F19" s="44"/>
      <c r="G19" s="63"/>
      <c r="H19" s="62"/>
      <c r="I19" s="44"/>
      <c r="J19" s="44"/>
      <c r="K19" s="44"/>
      <c r="L19" s="55">
        <f>IF(J19=0,0,'Шаг 1. Основные исходные данные'!$E$8*'Шаг 1. Основные исходные данные'!$E$11)</f>
        <v>0</v>
      </c>
      <c r="M19" s="59"/>
      <c r="N19" s="353"/>
      <c r="O19" s="354"/>
      <c r="P19" s="43"/>
      <c r="Q19" s="43"/>
      <c r="R19" s="43"/>
      <c r="S19" s="43"/>
      <c r="T19" s="43"/>
      <c r="U19" s="43"/>
      <c r="W19" s="297">
        <f>L19*12/'Шаг 1. Основные исходные данные'!$E$10/8*J19*F19</f>
        <v>0</v>
      </c>
      <c r="X19" s="297">
        <f>M19*12/365/8*F19</f>
        <v>0</v>
      </c>
      <c r="Y19" s="297">
        <f>H19*12/'Шаг 1. Основные исходные данные'!$E$10/8*F19</f>
        <v>0</v>
      </c>
      <c r="Z19" s="272"/>
      <c r="AA19" s="272"/>
      <c r="AB19" s="272"/>
    </row>
    <row r="20" spans="1:40" x14ac:dyDescent="0.25">
      <c r="A20" s="43"/>
      <c r="B20" s="43"/>
      <c r="C20" s="35" t="str">
        <f>IF(LEN(D20)&gt;0,C19+1,"")</f>
        <v/>
      </c>
      <c r="D20" s="76"/>
      <c r="E20" s="76"/>
      <c r="F20" s="44"/>
      <c r="G20" s="63"/>
      <c r="H20" s="62"/>
      <c r="I20" s="44"/>
      <c r="J20" s="44"/>
      <c r="K20" s="44"/>
      <c r="L20" s="55">
        <f>IF(J20=0,0,'Шаг 1. Основные исходные данные'!$E$8*'Шаг 1. Основные исходные данные'!$E$11)</f>
        <v>0</v>
      </c>
      <c r="M20" s="59"/>
      <c r="N20" s="353"/>
      <c r="O20" s="354"/>
      <c r="P20" s="43"/>
      <c r="Q20" s="43"/>
      <c r="R20" s="43"/>
      <c r="S20" s="43"/>
      <c r="T20" s="43"/>
      <c r="U20" s="43"/>
      <c r="W20" s="297">
        <f>L20*12/'Шаг 1. Основные исходные данные'!$E$10/8*J20*F20</f>
        <v>0</v>
      </c>
      <c r="X20" s="297">
        <f>M20*12/365/8*F20</f>
        <v>0</v>
      </c>
      <c r="Y20" s="297">
        <f>H20*12/'Шаг 1. Основные исходные данные'!$E$10/8*F20</f>
        <v>0</v>
      </c>
      <c r="Z20" s="272"/>
      <c r="AA20" s="272"/>
      <c r="AB20" s="272"/>
    </row>
    <row r="21" spans="1:40" x14ac:dyDescent="0.25">
      <c r="A21" s="43"/>
      <c r="B21" s="43"/>
      <c r="C21" s="35" t="str">
        <f>IF(LEN(D21)&gt;0,C20+1,"")</f>
        <v/>
      </c>
      <c r="D21" s="76"/>
      <c r="E21" s="76"/>
      <c r="F21" s="44"/>
      <c r="G21" s="63"/>
      <c r="H21" s="62"/>
      <c r="I21" s="44"/>
      <c r="J21" s="44"/>
      <c r="K21" s="44"/>
      <c r="L21" s="55">
        <f>IF(J21=0,0,'Шаг 1. Основные исходные данные'!$E$8*'Шаг 1. Основные исходные данные'!$E$11)</f>
        <v>0</v>
      </c>
      <c r="M21" s="59"/>
      <c r="N21" s="353"/>
      <c r="O21" s="354"/>
      <c r="P21" s="43"/>
      <c r="Q21" s="43"/>
      <c r="R21" s="43"/>
      <c r="S21" s="43"/>
      <c r="T21" s="43"/>
      <c r="U21" s="43"/>
      <c r="W21" s="297">
        <f>L21*12/'Шаг 1. Основные исходные данные'!$E$10/8*J21*F21</f>
        <v>0</v>
      </c>
      <c r="X21" s="297">
        <f>M21*12/365/8*F21</f>
        <v>0</v>
      </c>
      <c r="Y21" s="297">
        <f>H21*12/'Шаг 1. Основные исходные данные'!$E$10/8*F21</f>
        <v>0</v>
      </c>
      <c r="Z21" s="272"/>
      <c r="AA21" s="272"/>
      <c r="AB21" s="272"/>
    </row>
    <row r="22" spans="1:40" x14ac:dyDescent="0.25">
      <c r="A22" s="43"/>
      <c r="B22" s="43"/>
      <c r="C22" s="35" t="str">
        <f>IF(LEN(D22)&gt;0,C21+1,"")</f>
        <v/>
      </c>
      <c r="D22" s="76"/>
      <c r="E22" s="76"/>
      <c r="F22" s="44"/>
      <c r="G22" s="63"/>
      <c r="H22" s="62"/>
      <c r="I22" s="44"/>
      <c r="J22" s="44"/>
      <c r="K22" s="44"/>
      <c r="L22" s="55">
        <f>IF(J22=0,0,'Шаг 1. Основные исходные данные'!$E$8*'Шаг 1. Основные исходные данные'!$E$11)</f>
        <v>0</v>
      </c>
      <c r="M22" s="59"/>
      <c r="N22" s="353"/>
      <c r="O22" s="354"/>
      <c r="P22" s="43"/>
      <c r="Q22" s="43"/>
      <c r="R22" s="43"/>
      <c r="S22" s="43"/>
      <c r="T22" s="43"/>
      <c r="U22" s="43"/>
      <c r="W22" s="297">
        <f>L22*12/'Шаг 1. Основные исходные данные'!$E$10/8*J22*F22</f>
        <v>0</v>
      </c>
      <c r="X22" s="297">
        <f>M22*12/365/8*F22</f>
        <v>0</v>
      </c>
      <c r="Y22" s="297">
        <f>H22*12/'Шаг 1. Основные исходные данные'!$E$10/8*F22</f>
        <v>0</v>
      </c>
      <c r="Z22" s="272"/>
      <c r="AA22" s="272"/>
      <c r="AB22" s="272"/>
    </row>
    <row r="23" spans="1:40" x14ac:dyDescent="0.25">
      <c r="A23" s="43"/>
      <c r="B23" s="43"/>
      <c r="C23" s="291" t="str">
        <f>IF(LEN(D23)&gt;0,C22+1,"")</f>
        <v/>
      </c>
      <c r="D23" s="292"/>
      <c r="E23" s="292"/>
      <c r="F23" s="65"/>
      <c r="G23" s="68"/>
      <c r="H23" s="64"/>
      <c r="I23" s="65"/>
      <c r="J23" s="65"/>
      <c r="K23" s="65"/>
      <c r="L23" s="66">
        <f>IF(J23=0,0,'Шаг 1. Основные исходные данные'!$E$8*'Шаг 1. Основные исходные данные'!$E$11)</f>
        <v>0</v>
      </c>
      <c r="M23" s="67"/>
      <c r="N23" s="355"/>
      <c r="O23" s="356"/>
      <c r="P23" s="43"/>
      <c r="Q23" s="43"/>
      <c r="R23" s="43"/>
      <c r="S23" s="43"/>
      <c r="T23" s="43"/>
      <c r="U23" s="43"/>
      <c r="W23" s="297">
        <f>L23*12/'Шаг 1. Основные исходные данные'!$E$10/8*J23*F23</f>
        <v>0</v>
      </c>
      <c r="X23" s="297">
        <f>M23*12/365/8*F23</f>
        <v>0</v>
      </c>
      <c r="Y23" s="297">
        <f>H23*12/'Шаг 1. Основные исходные данные'!$E$10/8*F23</f>
        <v>0</v>
      </c>
      <c r="Z23" s="272"/>
      <c r="AA23" s="272"/>
      <c r="AB23" s="272"/>
    </row>
    <row r="24" spans="1:40" x14ac:dyDescent="0.25">
      <c r="A24" s="43"/>
      <c r="B24" s="43"/>
      <c r="C24" s="43"/>
      <c r="D24" s="43"/>
      <c r="E24" s="43"/>
      <c r="F24" s="43"/>
      <c r="G24" s="43"/>
      <c r="H24" s="43"/>
      <c r="I24" s="43"/>
      <c r="J24" s="43"/>
      <c r="K24" s="43"/>
      <c r="L24" s="43"/>
      <c r="M24" s="43"/>
      <c r="N24" s="43"/>
      <c r="O24" s="43"/>
      <c r="P24" s="43"/>
      <c r="Q24" s="43"/>
      <c r="R24" s="43"/>
      <c r="S24" s="43"/>
      <c r="T24" s="43"/>
      <c r="U24" s="43"/>
      <c r="W24" s="294"/>
    </row>
    <row r="25" spans="1:40" x14ac:dyDescent="0.25">
      <c r="A25" s="43"/>
      <c r="B25" s="43"/>
      <c r="C25" s="43"/>
      <c r="D25" s="43"/>
      <c r="E25" s="43"/>
      <c r="F25" s="43"/>
      <c r="G25" s="43"/>
      <c r="H25" s="43"/>
      <c r="I25" s="43"/>
      <c r="J25" s="43"/>
      <c r="K25" s="43"/>
      <c r="L25" s="43"/>
      <c r="M25" s="43"/>
      <c r="N25" s="43"/>
      <c r="O25" s="43"/>
      <c r="P25" s="43"/>
      <c r="Q25" s="43"/>
      <c r="R25" s="43"/>
      <c r="S25" s="43"/>
      <c r="T25" s="43"/>
      <c r="U25" s="43"/>
    </row>
    <row r="26" spans="1:40" x14ac:dyDescent="0.25">
      <c r="A26" s="43"/>
      <c r="B26" s="43"/>
      <c r="C26" s="36" t="str">
        <f>CONCATENATE("4.2.",$C$19,". Издержки простоя группы объектов ",$C$19," - """,$D$19,"""")</f>
        <v>4.2.. Издержки простоя группы объектов  - ""</v>
      </c>
      <c r="D26" s="43"/>
      <c r="E26" s="43"/>
      <c r="F26" s="43"/>
      <c r="G26" s="43"/>
      <c r="H26" s="43"/>
      <c r="I26" s="43"/>
      <c r="J26" s="43"/>
      <c r="K26" s="43"/>
      <c r="L26" s="43"/>
      <c r="M26" s="43"/>
      <c r="N26" s="43"/>
      <c r="O26" s="43"/>
      <c r="P26" s="43"/>
      <c r="Q26" s="43"/>
      <c r="R26" s="43"/>
      <c r="S26" s="43"/>
      <c r="T26" s="43"/>
      <c r="U26" s="43"/>
    </row>
    <row r="27" spans="1:40" x14ac:dyDescent="0.25">
      <c r="A27" s="43"/>
      <c r="B27" s="43"/>
      <c r="C27" s="43"/>
      <c r="D27" s="43"/>
      <c r="E27" s="43"/>
      <c r="F27" s="43"/>
      <c r="G27" s="43"/>
      <c r="H27" s="43"/>
      <c r="I27" s="43"/>
      <c r="J27" s="43"/>
      <c r="K27" s="43"/>
      <c r="L27" s="43"/>
      <c r="M27" s="43"/>
      <c r="N27" s="43"/>
      <c r="O27" s="43"/>
      <c r="P27" s="43"/>
      <c r="Q27" s="43"/>
      <c r="R27" s="43"/>
      <c r="S27" s="43"/>
      <c r="T27" s="43"/>
      <c r="U27" s="43"/>
      <c r="AC27" s="293"/>
      <c r="AI27" s="293"/>
    </row>
    <row r="28" spans="1:40" ht="19.899999999999999" customHeight="1" x14ac:dyDescent="0.25">
      <c r="A28" s="43"/>
      <c r="B28" s="43"/>
      <c r="C28" s="326" t="s">
        <v>62</v>
      </c>
      <c r="D28" s="326" t="s">
        <v>94</v>
      </c>
      <c r="E28" s="348" t="s">
        <v>1176</v>
      </c>
      <c r="F28" s="349"/>
      <c r="G28" s="350"/>
      <c r="H28" s="351" t="s">
        <v>1239</v>
      </c>
      <c r="I28" s="326" t="s">
        <v>1305</v>
      </c>
      <c r="J28" s="326" t="s">
        <v>1240</v>
      </c>
      <c r="K28" s="326"/>
      <c r="L28" s="326"/>
      <c r="M28" s="326"/>
      <c r="N28" s="326"/>
      <c r="O28" s="326"/>
      <c r="P28" s="326" t="s">
        <v>1306</v>
      </c>
      <c r="Q28" s="286" t="s">
        <v>1236</v>
      </c>
      <c r="R28" s="287"/>
      <c r="S28" s="351" t="s">
        <v>1241</v>
      </c>
      <c r="T28" s="326" t="s">
        <v>1271</v>
      </c>
      <c r="U28" s="43"/>
      <c r="W28" s="293" t="s">
        <v>1246</v>
      </c>
      <c r="AC28" s="293" t="s">
        <v>1247</v>
      </c>
      <c r="AI28" s="293" t="s">
        <v>1248</v>
      </c>
    </row>
    <row r="29" spans="1:40" s="61" customFormat="1" ht="94.5" x14ac:dyDescent="0.25">
      <c r="A29" s="60"/>
      <c r="B29" s="60"/>
      <c r="C29" s="326"/>
      <c r="D29" s="326"/>
      <c r="E29" s="288" t="s">
        <v>109</v>
      </c>
      <c r="F29" s="289" t="s">
        <v>1243</v>
      </c>
      <c r="G29" s="290" t="s">
        <v>1244</v>
      </c>
      <c r="H29" s="352"/>
      <c r="I29" s="326"/>
      <c r="J29" s="125" t="str">
        <f>IF(1&lt;='Шаг 1. Основные исходные данные'!$E$5,"1 год","-")</f>
        <v>1 год</v>
      </c>
      <c r="K29" s="125" t="str">
        <f>IF(2&lt;='Шаг 1. Основные исходные данные'!$E$5,"2 год","-")</f>
        <v>2 год</v>
      </c>
      <c r="L29" s="125" t="str">
        <f>IF(3&lt;='Шаг 1. Основные исходные данные'!$E$5,"3 год","-")</f>
        <v>3 год</v>
      </c>
      <c r="M29" s="125" t="str">
        <f>IF(4&lt;='Шаг 1. Основные исходные данные'!$E$5,"4 год","-")</f>
        <v>4 год</v>
      </c>
      <c r="N29" s="125" t="str">
        <f>IF(5&lt;='Шаг 1. Основные исходные данные'!$E$5,"5 год","-")</f>
        <v>5 год</v>
      </c>
      <c r="O29" s="125" t="str">
        <f>IF(6&lt;='Шаг 1. Основные исходные данные'!$E$5,"6 год","-")</f>
        <v>6 год</v>
      </c>
      <c r="P29" s="326"/>
      <c r="Q29" s="79" t="s">
        <v>92</v>
      </c>
      <c r="R29" s="78" t="s">
        <v>93</v>
      </c>
      <c r="S29" s="352"/>
      <c r="T29" s="327"/>
      <c r="U29" s="43"/>
      <c r="W29" s="279" t="s">
        <v>1221</v>
      </c>
      <c r="X29" s="279" t="s">
        <v>1223</v>
      </c>
      <c r="Y29" s="279" t="s">
        <v>1224</v>
      </c>
      <c r="Z29" s="279" t="s">
        <v>1225</v>
      </c>
      <c r="AA29" s="279" t="s">
        <v>1226</v>
      </c>
      <c r="AB29" s="279" t="s">
        <v>1227</v>
      </c>
      <c r="AC29" s="279" t="s">
        <v>1221</v>
      </c>
      <c r="AD29" s="279" t="s">
        <v>1223</v>
      </c>
      <c r="AE29" s="279" t="s">
        <v>1224</v>
      </c>
      <c r="AF29" s="279" t="s">
        <v>1225</v>
      </c>
      <c r="AG29" s="279" t="s">
        <v>1226</v>
      </c>
      <c r="AH29" s="279" t="s">
        <v>1227</v>
      </c>
      <c r="AI29" s="279" t="s">
        <v>1221</v>
      </c>
      <c r="AJ29" s="279" t="s">
        <v>1223</v>
      </c>
      <c r="AK29" s="279" t="s">
        <v>1224</v>
      </c>
      <c r="AL29" s="279" t="s">
        <v>1225</v>
      </c>
      <c r="AM29" s="279" t="s">
        <v>1226</v>
      </c>
      <c r="AN29" s="279" t="s">
        <v>1227</v>
      </c>
    </row>
    <row r="30" spans="1:40" x14ac:dyDescent="0.25">
      <c r="A30" s="43"/>
      <c r="B30" s="43"/>
      <c r="C30" s="88" t="str">
        <f>IF(LEN(D30)&gt;0,1,"")</f>
        <v/>
      </c>
      <c r="D30" s="75" t="str">
        <f>IF(AND(LEN($D$19)&gt;1,LEN($D$6)&gt;1),$D$6,"")</f>
        <v/>
      </c>
      <c r="E30" s="70"/>
      <c r="F30" s="44"/>
      <c r="G30" s="63"/>
      <c r="H30" s="69"/>
      <c r="I30" s="44"/>
      <c r="J30" s="96"/>
      <c r="K30" s="44"/>
      <c r="L30" s="44"/>
      <c r="M30" s="44"/>
      <c r="N30" s="44"/>
      <c r="O30" s="44"/>
      <c r="P30" s="44"/>
      <c r="Q30" s="73">
        <f>IF(F30=Dict!$A$2,IF($J$19=0,"Ошибка: не заполнен параметр в п.4.1",SUM(W30:AB30)),0)</f>
        <v>0</v>
      </c>
      <c r="R30" s="74">
        <f>IF(G30=Dict!$A$2,IF($M$19=0,"Ошибка: не заполнен параметр в п.4.1",SUM(AC30:AH30)),0)</f>
        <v>0</v>
      </c>
      <c r="S30" s="72">
        <f>IFERROR(HLOOKUP("Ошибка: не заполнен параметр в п.4.1",Q30:R30,1,0),SUM(Q30:R30))</f>
        <v>0</v>
      </c>
      <c r="T30" s="74">
        <f>IF(E30=Dict!$A$2,IFERROR(SUM(AI30:AN30),"Ошибка: не заполнен параметр в п.4.1"),0)</f>
        <v>0</v>
      </c>
      <c r="U30" s="43"/>
      <c r="W30" s="296">
        <f t="shared" ref="W30:AB34" si="0">W$10*$W$19*$H30*J30</f>
        <v>0</v>
      </c>
      <c r="X30" s="297">
        <f t="shared" si="0"/>
        <v>0</v>
      </c>
      <c r="Y30" s="297">
        <f t="shared" si="0"/>
        <v>0</v>
      </c>
      <c r="Z30" s="297">
        <f t="shared" si="0"/>
        <v>0</v>
      </c>
      <c r="AA30" s="297">
        <f t="shared" si="0"/>
        <v>0</v>
      </c>
      <c r="AB30" s="297">
        <f t="shared" si="0"/>
        <v>0</v>
      </c>
      <c r="AC30" s="296">
        <f t="shared" ref="AC30:AH34" si="1">W$9*$X$19*$H30*J30</f>
        <v>0</v>
      </c>
      <c r="AD30" s="297">
        <f t="shared" si="1"/>
        <v>0</v>
      </c>
      <c r="AE30" s="297">
        <f t="shared" si="1"/>
        <v>0</v>
      </c>
      <c r="AF30" s="297">
        <f t="shared" si="1"/>
        <v>0</v>
      </c>
      <c r="AG30" s="297">
        <f t="shared" si="1"/>
        <v>0</v>
      </c>
      <c r="AH30" s="297">
        <f t="shared" si="1"/>
        <v>0</v>
      </c>
      <c r="AI30" s="296">
        <f>$Y$19*'Шаг 1. Основные исходные данные'!$E$9/100*$H30*J30</f>
        <v>0</v>
      </c>
      <c r="AJ30" s="297">
        <f>$Y$19*'Шаг 1. Основные исходные данные'!$E$9/100*$H30*K30</f>
        <v>0</v>
      </c>
      <c r="AK30" s="297">
        <f>$Y$19*'Шаг 1. Основные исходные данные'!$E$9/100*$H30*L30</f>
        <v>0</v>
      </c>
      <c r="AL30" s="297">
        <f>$Y$19*'Шаг 1. Основные исходные данные'!$E$9/100*$H30*M30</f>
        <v>0</v>
      </c>
      <c r="AM30" s="297">
        <f>$Y$19*'Шаг 1. Основные исходные данные'!$E$9/100*$H30*N30</f>
        <v>0</v>
      </c>
      <c r="AN30" s="297">
        <f>$Y$19*'Шаг 1. Основные исходные данные'!$E$9/100*$H30*O30</f>
        <v>0</v>
      </c>
    </row>
    <row r="31" spans="1:40" x14ac:dyDescent="0.25">
      <c r="A31" s="43"/>
      <c r="B31" s="43"/>
      <c r="C31" s="88" t="str">
        <f>IF(LEN(D31)&gt;0,C30+1,"")</f>
        <v/>
      </c>
      <c r="D31" s="75" t="str">
        <f>IF(AND(LEN($D$19)&gt;1,LEN($D$7)&gt;1),$D$7,"")</f>
        <v/>
      </c>
      <c r="E31" s="70"/>
      <c r="F31" s="44"/>
      <c r="G31" s="63"/>
      <c r="H31" s="69"/>
      <c r="I31" s="44"/>
      <c r="J31" s="96"/>
      <c r="K31" s="44"/>
      <c r="L31" s="44"/>
      <c r="M31" s="44"/>
      <c r="N31" s="44"/>
      <c r="O31" s="44"/>
      <c r="P31" s="44"/>
      <c r="Q31" s="73">
        <f>IF(F31=Dict!$A$2,IF($J$19=0,"Ошибка: не заполнен параметр в п.4.1",SUM(W31:AB31)),0)</f>
        <v>0</v>
      </c>
      <c r="R31" s="74">
        <f>IF(G31=Dict!$A$2,IF($M$19=0,"Ошибка: не заполнен параметр в п.4.1",SUM(AC31:AH31)),0)</f>
        <v>0</v>
      </c>
      <c r="S31" s="72">
        <f>IFERROR(HLOOKUP("Ошибка: не заполнен параметр в п.4.1",Q31:R31,1,0),SUM(Q31:R31))</f>
        <v>0</v>
      </c>
      <c r="T31" s="74">
        <f>IF(E31=Dict!$A$2,IFERROR(SUM(AI31:AN31),"Ошибка: не заполнен параметр в п.4.1"),0)</f>
        <v>0</v>
      </c>
      <c r="U31" s="43"/>
      <c r="W31" s="297">
        <f t="shared" si="0"/>
        <v>0</v>
      </c>
      <c r="X31" s="297">
        <f t="shared" si="0"/>
        <v>0</v>
      </c>
      <c r="Y31" s="297">
        <f t="shared" si="0"/>
        <v>0</v>
      </c>
      <c r="Z31" s="297">
        <f t="shared" si="0"/>
        <v>0</v>
      </c>
      <c r="AA31" s="297">
        <f t="shared" si="0"/>
        <v>0</v>
      </c>
      <c r="AB31" s="297">
        <f t="shared" si="0"/>
        <v>0</v>
      </c>
      <c r="AC31" s="297">
        <f t="shared" si="1"/>
        <v>0</v>
      </c>
      <c r="AD31" s="297">
        <f t="shared" si="1"/>
        <v>0</v>
      </c>
      <c r="AE31" s="297">
        <f t="shared" si="1"/>
        <v>0</v>
      </c>
      <c r="AF31" s="297">
        <f t="shared" si="1"/>
        <v>0</v>
      </c>
      <c r="AG31" s="297">
        <f t="shared" si="1"/>
        <v>0</v>
      </c>
      <c r="AH31" s="297">
        <f t="shared" si="1"/>
        <v>0</v>
      </c>
      <c r="AI31" s="297">
        <f>$Y$19*'Шаг 1. Основные исходные данные'!$E$9/100*$H31*J31</f>
        <v>0</v>
      </c>
      <c r="AJ31" s="297">
        <f>$Y$19*'Шаг 1. Основные исходные данные'!$E$9/100*$H31*K31</f>
        <v>0</v>
      </c>
      <c r="AK31" s="297">
        <f>$Y$19*'Шаг 1. Основные исходные данные'!$E$9/100*$H31*L31</f>
        <v>0</v>
      </c>
      <c r="AL31" s="297">
        <f>$Y$19*'Шаг 1. Основные исходные данные'!$E$9/100*$H31*M31</f>
        <v>0</v>
      </c>
      <c r="AM31" s="297">
        <f>$Y$19*'Шаг 1. Основные исходные данные'!$E$9/100*$H31*N31</f>
        <v>0</v>
      </c>
      <c r="AN31" s="297">
        <f>$Y$19*'Шаг 1. Основные исходные данные'!$E$9/100*$H31*O31</f>
        <v>0</v>
      </c>
    </row>
    <row r="32" spans="1:40" x14ac:dyDescent="0.25">
      <c r="A32" s="43"/>
      <c r="B32" s="43"/>
      <c r="C32" s="88" t="str">
        <f>IF(LEN(D32)&gt;0,C31+1,"")</f>
        <v/>
      </c>
      <c r="D32" s="75" t="str">
        <f>IF(AND(LEN($D$19)&gt;1,LEN($D$8)&gt;1),$D$8,"")</f>
        <v/>
      </c>
      <c r="E32" s="70"/>
      <c r="F32" s="44"/>
      <c r="G32" s="63"/>
      <c r="H32" s="69"/>
      <c r="I32" s="44"/>
      <c r="J32" s="96"/>
      <c r="K32" s="44"/>
      <c r="L32" s="44"/>
      <c r="M32" s="44"/>
      <c r="N32" s="44"/>
      <c r="O32" s="44"/>
      <c r="P32" s="44"/>
      <c r="Q32" s="73">
        <f>IF(F32=Dict!$A$2,IF($J$19=0,"Ошибка: не заполнен параметр в п.4.1",SUM(W32:AB32)),0)</f>
        <v>0</v>
      </c>
      <c r="R32" s="74">
        <f>IF(G32=Dict!$A$2,IF($M$19=0,"Ошибка: не заполнен параметр в п.4.1",SUM(AC32:AH32)),0)</f>
        <v>0</v>
      </c>
      <c r="S32" s="72">
        <f>IFERROR(HLOOKUP("Ошибка: не заполнен параметр в п.4.1",Q32:R32,1,0),SUM(Q32:R32))</f>
        <v>0</v>
      </c>
      <c r="T32" s="74">
        <f>IF(E32=Dict!$A$2,IFERROR(SUM(AI32:AN32),"Ошибка: не заполнен параметр в п.4.1"),0)</f>
        <v>0</v>
      </c>
      <c r="U32" s="43"/>
      <c r="W32" s="297">
        <f t="shared" si="0"/>
        <v>0</v>
      </c>
      <c r="X32" s="297">
        <f t="shared" si="0"/>
        <v>0</v>
      </c>
      <c r="Y32" s="297">
        <f t="shared" si="0"/>
        <v>0</v>
      </c>
      <c r="Z32" s="297">
        <f t="shared" si="0"/>
        <v>0</v>
      </c>
      <c r="AA32" s="297">
        <f t="shared" si="0"/>
        <v>0</v>
      </c>
      <c r="AB32" s="297">
        <f t="shared" si="0"/>
        <v>0</v>
      </c>
      <c r="AC32" s="297">
        <f t="shared" si="1"/>
        <v>0</v>
      </c>
      <c r="AD32" s="297">
        <f t="shared" si="1"/>
        <v>0</v>
      </c>
      <c r="AE32" s="297">
        <f t="shared" si="1"/>
        <v>0</v>
      </c>
      <c r="AF32" s="297">
        <f t="shared" si="1"/>
        <v>0</v>
      </c>
      <c r="AG32" s="297">
        <f t="shared" si="1"/>
        <v>0</v>
      </c>
      <c r="AH32" s="297">
        <f t="shared" si="1"/>
        <v>0</v>
      </c>
      <c r="AI32" s="297">
        <f>$Y$19*'Шаг 1. Основные исходные данные'!$E$9/100*$H32*J32</f>
        <v>0</v>
      </c>
      <c r="AJ32" s="297">
        <f>$Y$19*'Шаг 1. Основные исходные данные'!$E$9/100*$H32*K32</f>
        <v>0</v>
      </c>
      <c r="AK32" s="297">
        <f>$Y$19*'Шаг 1. Основные исходные данные'!$E$9/100*$H32*L32</f>
        <v>0</v>
      </c>
      <c r="AL32" s="297">
        <f>$Y$19*'Шаг 1. Основные исходные данные'!$E$9/100*$H32*M32</f>
        <v>0</v>
      </c>
      <c r="AM32" s="297">
        <f>$Y$19*'Шаг 1. Основные исходные данные'!$E$9/100*$H32*N32</f>
        <v>0</v>
      </c>
      <c r="AN32" s="297">
        <f>$Y$19*'Шаг 1. Основные исходные данные'!$E$9/100*$H32*O32</f>
        <v>0</v>
      </c>
    </row>
    <row r="33" spans="1:40" x14ac:dyDescent="0.25">
      <c r="A33" s="43"/>
      <c r="B33" s="43"/>
      <c r="C33" s="88" t="str">
        <f>IF(LEN(D33)&gt;0,C32+1,"")</f>
        <v/>
      </c>
      <c r="D33" s="75" t="str">
        <f>IF(AND(LEN($D$19)&gt;1,LEN($D$9)&gt;1),$D$9,"")</f>
        <v/>
      </c>
      <c r="E33" s="70"/>
      <c r="F33" s="44"/>
      <c r="G33" s="63"/>
      <c r="H33" s="69"/>
      <c r="I33" s="44"/>
      <c r="J33" s="96"/>
      <c r="K33" s="44"/>
      <c r="L33" s="44"/>
      <c r="M33" s="44"/>
      <c r="N33" s="44"/>
      <c r="O33" s="44"/>
      <c r="P33" s="44"/>
      <c r="Q33" s="73">
        <f>IF(F33=Dict!$A$2,IF($J$19=0,"Ошибка: не заполнен параметр в п.4.1",SUM(W33:AB33)),0)</f>
        <v>0</v>
      </c>
      <c r="R33" s="74">
        <f>IF(G33=Dict!$A$2,IF($M$19=0,"Ошибка: не заполнен параметр в п.4.1",SUM(AC33:AH33)),0)</f>
        <v>0</v>
      </c>
      <c r="S33" s="72">
        <f>IFERROR(HLOOKUP("Ошибка: не заполнен параметр в п.4.1",Q33:R33,1,0),SUM(Q33:R33))</f>
        <v>0</v>
      </c>
      <c r="T33" s="74">
        <f>IF(E33=Dict!$A$2,IFERROR(SUM(AI33:AN33),"Ошибка: не заполнен параметр в п.4.1"),0)</f>
        <v>0</v>
      </c>
      <c r="U33" s="43"/>
      <c r="W33" s="297">
        <f t="shared" si="0"/>
        <v>0</v>
      </c>
      <c r="X33" s="297">
        <f t="shared" si="0"/>
        <v>0</v>
      </c>
      <c r="Y33" s="297">
        <f t="shared" si="0"/>
        <v>0</v>
      </c>
      <c r="Z33" s="297">
        <f t="shared" si="0"/>
        <v>0</v>
      </c>
      <c r="AA33" s="297">
        <f t="shared" si="0"/>
        <v>0</v>
      </c>
      <c r="AB33" s="297">
        <f t="shared" si="0"/>
        <v>0</v>
      </c>
      <c r="AC33" s="297">
        <f t="shared" si="1"/>
        <v>0</v>
      </c>
      <c r="AD33" s="297">
        <f t="shared" si="1"/>
        <v>0</v>
      </c>
      <c r="AE33" s="297">
        <f t="shared" si="1"/>
        <v>0</v>
      </c>
      <c r="AF33" s="297">
        <f t="shared" si="1"/>
        <v>0</v>
      </c>
      <c r="AG33" s="297">
        <f t="shared" si="1"/>
        <v>0</v>
      </c>
      <c r="AH33" s="297">
        <f t="shared" si="1"/>
        <v>0</v>
      </c>
      <c r="AI33" s="297">
        <f>$Y$19*'Шаг 1. Основные исходные данные'!$E$9/100*$H33*J33</f>
        <v>0</v>
      </c>
      <c r="AJ33" s="297">
        <f>$Y$19*'Шаг 1. Основные исходные данные'!$E$9/100*$H33*K33</f>
        <v>0</v>
      </c>
      <c r="AK33" s="297">
        <f>$Y$19*'Шаг 1. Основные исходные данные'!$E$9/100*$H33*L33</f>
        <v>0</v>
      </c>
      <c r="AL33" s="297">
        <f>$Y$19*'Шаг 1. Основные исходные данные'!$E$9/100*$H33*M33</f>
        <v>0</v>
      </c>
      <c r="AM33" s="297">
        <f>$Y$19*'Шаг 1. Основные исходные данные'!$E$9/100*$H33*N33</f>
        <v>0</v>
      </c>
      <c r="AN33" s="297">
        <f>$Y$19*'Шаг 1. Основные исходные данные'!$E$9/100*$H33*O33</f>
        <v>0</v>
      </c>
    </row>
    <row r="34" spans="1:40" x14ac:dyDescent="0.25">
      <c r="A34" s="43"/>
      <c r="B34" s="43"/>
      <c r="C34" s="88" t="str">
        <f>IF(LEN(D34)&gt;0,C33+1,"")</f>
        <v/>
      </c>
      <c r="D34" s="75" t="str">
        <f>IF(AND(LEN($D$19)&gt;1,LEN($D$10)&gt;1),$D$10,"")</f>
        <v/>
      </c>
      <c r="E34" s="71"/>
      <c r="F34" s="65"/>
      <c r="G34" s="68"/>
      <c r="H34" s="69"/>
      <c r="I34" s="44"/>
      <c r="J34" s="96"/>
      <c r="K34" s="44"/>
      <c r="L34" s="44"/>
      <c r="M34" s="44"/>
      <c r="N34" s="44"/>
      <c r="O34" s="44"/>
      <c r="P34" s="44"/>
      <c r="Q34" s="73">
        <f>IF(F34=Dict!$A$2,IF($J$19=0,"Ошибка: не заполнен параметр в п.4.1",SUM(W34:AB34)),0)</f>
        <v>0</v>
      </c>
      <c r="R34" s="74">
        <f>IF(G34=Dict!$A$2,IF($M$19=0,"Ошибка: не заполнен параметр в п.4.1",SUM(AC34:AH34)),0)</f>
        <v>0</v>
      </c>
      <c r="S34" s="72">
        <f>IFERROR(HLOOKUP("Ошибка: не заполнен параметр в п.4.1",Q34:R34,1,0),SUM(Q34:R34))</f>
        <v>0</v>
      </c>
      <c r="T34" s="74">
        <f>IF(E34=Dict!$A$2,IFERROR(SUM(AI34:AN34),"Ошибка: не заполнен параметр в п.4.1"),0)</f>
        <v>0</v>
      </c>
      <c r="U34" s="43"/>
      <c r="W34" s="297">
        <f t="shared" si="0"/>
        <v>0</v>
      </c>
      <c r="X34" s="297">
        <f t="shared" si="0"/>
        <v>0</v>
      </c>
      <c r="Y34" s="297">
        <f t="shared" si="0"/>
        <v>0</v>
      </c>
      <c r="Z34" s="297">
        <f t="shared" si="0"/>
        <v>0</v>
      </c>
      <c r="AA34" s="297">
        <f t="shared" si="0"/>
        <v>0</v>
      </c>
      <c r="AB34" s="297">
        <f t="shared" si="0"/>
        <v>0</v>
      </c>
      <c r="AC34" s="297">
        <f t="shared" si="1"/>
        <v>0</v>
      </c>
      <c r="AD34" s="297">
        <f t="shared" si="1"/>
        <v>0</v>
      </c>
      <c r="AE34" s="297">
        <f t="shared" si="1"/>
        <v>0</v>
      </c>
      <c r="AF34" s="297">
        <f t="shared" si="1"/>
        <v>0</v>
      </c>
      <c r="AG34" s="297">
        <f t="shared" si="1"/>
        <v>0</v>
      </c>
      <c r="AH34" s="297">
        <f t="shared" si="1"/>
        <v>0</v>
      </c>
      <c r="AI34" s="297">
        <f>$Y$19*'Шаг 1. Основные исходные данные'!$E$9/100*$H34*J34</f>
        <v>0</v>
      </c>
      <c r="AJ34" s="297">
        <f>$Y$19*'Шаг 1. Основные исходные данные'!$E$9/100*$H34*K34</f>
        <v>0</v>
      </c>
      <c r="AK34" s="297">
        <f>$Y$19*'Шаг 1. Основные исходные данные'!$E$9/100*$H34*L34</f>
        <v>0</v>
      </c>
      <c r="AL34" s="297">
        <f>$Y$19*'Шаг 1. Основные исходные данные'!$E$9/100*$H34*M34</f>
        <v>0</v>
      </c>
      <c r="AM34" s="297">
        <f>$Y$19*'Шаг 1. Основные исходные данные'!$E$9/100*$H34*N34</f>
        <v>0</v>
      </c>
      <c r="AN34" s="297">
        <f>$Y$19*'Шаг 1. Основные исходные данные'!$E$9/100*$H34*O34</f>
        <v>0</v>
      </c>
    </row>
    <row r="35" spans="1:40" ht="19.899999999999999" customHeight="1" x14ac:dyDescent="0.25">
      <c r="A35" s="43"/>
      <c r="B35" s="43"/>
      <c r="C35" s="35" t="s">
        <v>95</v>
      </c>
      <c r="D35" s="35"/>
      <c r="E35" s="35"/>
      <c r="F35" s="35"/>
      <c r="G35" s="35"/>
      <c r="H35" s="35"/>
      <c r="I35" s="35"/>
      <c r="J35" s="35"/>
      <c r="K35" s="35"/>
      <c r="L35" s="35"/>
      <c r="M35" s="35"/>
      <c r="N35" s="35"/>
      <c r="O35" s="35"/>
      <c r="P35" s="35"/>
      <c r="Q35" s="57">
        <f t="shared" ref="Q35:T35" si="2">IFERROR(VLOOKUP("Ошибка: не заполнен параметр в п.4.1",Q30:Q34,1,0),SUM(Q30:Q34))</f>
        <v>0</v>
      </c>
      <c r="R35" s="57">
        <f t="shared" si="2"/>
        <v>0</v>
      </c>
      <c r="S35" s="57">
        <f t="shared" si="2"/>
        <v>0</v>
      </c>
      <c r="T35" s="57">
        <f t="shared" si="2"/>
        <v>0</v>
      </c>
      <c r="U35" s="43"/>
      <c r="W35" s="298">
        <f>SUM(W30:W34)</f>
        <v>0</v>
      </c>
      <c r="X35" s="298">
        <f t="shared" ref="X35:AB35" si="3">SUM(X30:X34)</f>
        <v>0</v>
      </c>
      <c r="Y35" s="298">
        <f t="shared" si="3"/>
        <v>0</v>
      </c>
      <c r="Z35" s="298">
        <f t="shared" si="3"/>
        <v>0</v>
      </c>
      <c r="AA35" s="298">
        <f t="shared" si="3"/>
        <v>0</v>
      </c>
      <c r="AB35" s="298">
        <f t="shared" si="3"/>
        <v>0</v>
      </c>
      <c r="AC35" s="299">
        <f>SUM(AC30:AC34)</f>
        <v>0</v>
      </c>
      <c r="AD35" s="299">
        <f t="shared" ref="AD35:AH35" si="4">SUM(AD30:AD34)</f>
        <v>0</v>
      </c>
      <c r="AE35" s="299">
        <f t="shared" si="4"/>
        <v>0</v>
      </c>
      <c r="AF35" s="299">
        <f t="shared" si="4"/>
        <v>0</v>
      </c>
      <c r="AG35" s="299">
        <f t="shared" si="4"/>
        <v>0</v>
      </c>
      <c r="AH35" s="299">
        <f t="shared" si="4"/>
        <v>0</v>
      </c>
      <c r="AI35" s="299">
        <f>SUM(AI30:AI34)</f>
        <v>0</v>
      </c>
      <c r="AJ35" s="299">
        <f t="shared" ref="AJ35" si="5">SUM(AJ30:AJ34)</f>
        <v>0</v>
      </c>
      <c r="AK35" s="299">
        <f t="shared" ref="AK35" si="6">SUM(AK30:AK34)</f>
        <v>0</v>
      </c>
      <c r="AL35" s="299">
        <f t="shared" ref="AL35" si="7">SUM(AL30:AL34)</f>
        <v>0</v>
      </c>
      <c r="AM35" s="299">
        <f t="shared" ref="AM35" si="8">SUM(AM30:AM34)</f>
        <v>0</v>
      </c>
      <c r="AN35" s="299">
        <f t="shared" ref="AN35" si="9">SUM(AN30:AN34)</f>
        <v>0</v>
      </c>
    </row>
    <row r="36" spans="1:40" x14ac:dyDescent="0.25">
      <c r="A36" s="43"/>
      <c r="B36" s="43"/>
      <c r="C36" s="43"/>
      <c r="D36" s="43"/>
      <c r="E36" s="43"/>
      <c r="F36" s="43"/>
      <c r="G36" s="43"/>
      <c r="H36" s="43"/>
      <c r="I36" s="43"/>
      <c r="J36" s="43"/>
      <c r="K36" s="43"/>
      <c r="L36" s="43"/>
      <c r="M36" s="43"/>
      <c r="N36" s="43"/>
      <c r="O36" s="43"/>
      <c r="P36" s="43"/>
      <c r="Q36" s="43"/>
      <c r="R36" s="43"/>
      <c r="S36" s="43"/>
      <c r="T36" s="43"/>
      <c r="U36" s="43"/>
      <c r="W36" s="272"/>
      <c r="X36" s="272"/>
      <c r="Y36" s="272"/>
      <c r="Z36" s="272"/>
      <c r="AA36" s="272"/>
      <c r="AB36" s="272"/>
    </row>
    <row r="37" spans="1:40" x14ac:dyDescent="0.25">
      <c r="A37" s="43"/>
      <c r="B37" s="43"/>
      <c r="C37" s="43"/>
      <c r="D37" s="43"/>
      <c r="E37" s="43"/>
      <c r="F37" s="43"/>
      <c r="G37" s="43"/>
      <c r="H37" s="43"/>
      <c r="I37" s="43"/>
      <c r="J37" s="43"/>
      <c r="K37" s="43"/>
      <c r="L37" s="43"/>
      <c r="M37" s="43"/>
      <c r="N37" s="43"/>
      <c r="O37" s="43"/>
      <c r="P37" s="43"/>
      <c r="Q37" s="43"/>
      <c r="R37" s="43"/>
      <c r="S37" s="43"/>
      <c r="T37" s="43"/>
      <c r="U37" s="43"/>
    </row>
    <row r="38" spans="1:40" x14ac:dyDescent="0.25">
      <c r="A38" s="43"/>
      <c r="B38" s="43"/>
      <c r="C38" s="36" t="str">
        <f>CONCATENATE("4.2.",$C$20,". Издержки простоя группы объектов ",$C$20," - """,$D$20,"""")</f>
        <v>4.2.. Издержки простоя группы объектов  - ""</v>
      </c>
      <c r="D38" s="43"/>
      <c r="E38" s="43"/>
      <c r="F38" s="43"/>
      <c r="G38" s="43"/>
      <c r="H38" s="43"/>
      <c r="I38" s="43"/>
      <c r="J38" s="43"/>
      <c r="K38" s="43"/>
      <c r="L38" s="43"/>
      <c r="M38" s="43"/>
      <c r="N38" s="43"/>
      <c r="O38" s="43"/>
      <c r="P38" s="43"/>
      <c r="Q38" s="43"/>
      <c r="R38" s="43"/>
      <c r="S38" s="43"/>
      <c r="T38" s="43"/>
      <c r="U38" s="43"/>
    </row>
    <row r="39" spans="1:40" x14ac:dyDescent="0.25">
      <c r="A39" s="43"/>
      <c r="B39" s="43"/>
      <c r="C39" s="43"/>
      <c r="D39" s="43"/>
      <c r="E39" s="43"/>
      <c r="F39" s="43"/>
      <c r="G39" s="43"/>
      <c r="H39" s="43"/>
      <c r="I39" s="43"/>
      <c r="J39" s="43"/>
      <c r="K39" s="43"/>
      <c r="L39" s="43"/>
      <c r="M39" s="43"/>
      <c r="N39" s="43"/>
      <c r="O39" s="43"/>
      <c r="P39" s="43"/>
      <c r="Q39" s="43"/>
      <c r="R39" s="43"/>
      <c r="S39" s="43"/>
      <c r="T39" s="43"/>
      <c r="U39" s="43"/>
      <c r="AC39" s="293"/>
      <c r="AI39" s="293"/>
    </row>
    <row r="40" spans="1:40" ht="19.899999999999999" customHeight="1" x14ac:dyDescent="0.25">
      <c r="A40" s="43"/>
      <c r="B40" s="43"/>
      <c r="C40" s="326" t="s">
        <v>62</v>
      </c>
      <c r="D40" s="326" t="s">
        <v>94</v>
      </c>
      <c r="E40" s="348" t="s">
        <v>1176</v>
      </c>
      <c r="F40" s="349"/>
      <c r="G40" s="350"/>
      <c r="H40" s="351" t="s">
        <v>1239</v>
      </c>
      <c r="I40" s="326" t="s">
        <v>1305</v>
      </c>
      <c r="J40" s="326" t="s">
        <v>1240</v>
      </c>
      <c r="K40" s="326"/>
      <c r="L40" s="326"/>
      <c r="M40" s="326"/>
      <c r="N40" s="326"/>
      <c r="O40" s="326"/>
      <c r="P40" s="326" t="s">
        <v>1306</v>
      </c>
      <c r="Q40" s="286" t="s">
        <v>1236</v>
      </c>
      <c r="R40" s="287"/>
      <c r="S40" s="351" t="s">
        <v>1241</v>
      </c>
      <c r="T40" s="326" t="s">
        <v>1271</v>
      </c>
      <c r="U40" s="43"/>
      <c r="W40" s="293" t="s">
        <v>1246</v>
      </c>
      <c r="AC40" s="293" t="s">
        <v>1247</v>
      </c>
      <c r="AI40" s="293" t="s">
        <v>1248</v>
      </c>
    </row>
    <row r="41" spans="1:40" s="61" customFormat="1" ht="94.5" x14ac:dyDescent="0.25">
      <c r="A41" s="60"/>
      <c r="B41" s="60"/>
      <c r="C41" s="326"/>
      <c r="D41" s="326"/>
      <c r="E41" s="288" t="s">
        <v>109</v>
      </c>
      <c r="F41" s="289" t="s">
        <v>1243</v>
      </c>
      <c r="G41" s="290" t="s">
        <v>1244</v>
      </c>
      <c r="H41" s="352"/>
      <c r="I41" s="326"/>
      <c r="J41" s="125" t="str">
        <f>IF(1&lt;='Шаг 1. Основные исходные данные'!$E$5,"1 год","-")</f>
        <v>1 год</v>
      </c>
      <c r="K41" s="125" t="str">
        <f>IF(2&lt;='Шаг 1. Основные исходные данные'!$E$5,"2 год","-")</f>
        <v>2 год</v>
      </c>
      <c r="L41" s="125" t="str">
        <f>IF(3&lt;='Шаг 1. Основные исходные данные'!$E$5,"3 год","-")</f>
        <v>3 год</v>
      </c>
      <c r="M41" s="125" t="str">
        <f>IF(4&lt;='Шаг 1. Основные исходные данные'!$E$5,"4 год","-")</f>
        <v>4 год</v>
      </c>
      <c r="N41" s="125" t="str">
        <f>IF(5&lt;='Шаг 1. Основные исходные данные'!$E$5,"5 год","-")</f>
        <v>5 год</v>
      </c>
      <c r="O41" s="125" t="str">
        <f>IF(6&lt;='Шаг 1. Основные исходные данные'!$E$5,"6 год","-")</f>
        <v>6 год</v>
      </c>
      <c r="P41" s="326"/>
      <c r="Q41" s="79" t="s">
        <v>92</v>
      </c>
      <c r="R41" s="78" t="s">
        <v>93</v>
      </c>
      <c r="S41" s="352"/>
      <c r="T41" s="327"/>
      <c r="U41" s="43"/>
      <c r="W41" s="279" t="s">
        <v>1221</v>
      </c>
      <c r="X41" s="279" t="s">
        <v>1223</v>
      </c>
      <c r="Y41" s="279" t="s">
        <v>1224</v>
      </c>
      <c r="Z41" s="279" t="s">
        <v>1225</v>
      </c>
      <c r="AA41" s="279" t="s">
        <v>1226</v>
      </c>
      <c r="AB41" s="279" t="s">
        <v>1227</v>
      </c>
      <c r="AC41" s="279" t="s">
        <v>1221</v>
      </c>
      <c r="AD41" s="279" t="s">
        <v>1223</v>
      </c>
      <c r="AE41" s="279" t="s">
        <v>1224</v>
      </c>
      <c r="AF41" s="279" t="s">
        <v>1225</v>
      </c>
      <c r="AG41" s="279" t="s">
        <v>1226</v>
      </c>
      <c r="AH41" s="279" t="s">
        <v>1227</v>
      </c>
      <c r="AI41" s="279" t="s">
        <v>1221</v>
      </c>
      <c r="AJ41" s="279" t="s">
        <v>1223</v>
      </c>
      <c r="AK41" s="279" t="s">
        <v>1224</v>
      </c>
      <c r="AL41" s="279" t="s">
        <v>1225</v>
      </c>
      <c r="AM41" s="279" t="s">
        <v>1226</v>
      </c>
      <c r="AN41" s="279" t="s">
        <v>1227</v>
      </c>
    </row>
    <row r="42" spans="1:40" x14ac:dyDescent="0.25">
      <c r="A42" s="43"/>
      <c r="B42" s="43"/>
      <c r="C42" s="88" t="str">
        <f>IF(LEN(D42)&gt;0,1,"")</f>
        <v/>
      </c>
      <c r="D42" s="75" t="str">
        <f>IF(AND(LEN($D$20)&gt;1,LEN($D$6)&gt;1),$D$6,"")</f>
        <v/>
      </c>
      <c r="E42" s="70"/>
      <c r="F42" s="44"/>
      <c r="G42" s="63"/>
      <c r="H42" s="69"/>
      <c r="I42" s="44"/>
      <c r="J42" s="96"/>
      <c r="K42" s="44"/>
      <c r="L42" s="44"/>
      <c r="M42" s="44"/>
      <c r="N42" s="44"/>
      <c r="O42" s="44"/>
      <c r="P42" s="44"/>
      <c r="Q42" s="73">
        <f>IF(F42=Dict!$A$2,IF($J$19=0,"Ошибка: не заполнен параметр в п.4.1",SUM(W42:AB42)),0)</f>
        <v>0</v>
      </c>
      <c r="R42" s="74">
        <f>IF(G42=Dict!$A$2,IF($M$19=0,"Ошибка: не заполнен параметр в п.4.1",SUM(AC42:AH42)),0)</f>
        <v>0</v>
      </c>
      <c r="S42" s="72">
        <f>IFERROR(HLOOKUP("Ошибка: не заполнен параметр в п.4.1",Q42:R42,1,0),SUM(Q42:R42))</f>
        <v>0</v>
      </c>
      <c r="T42" s="74">
        <f>IF(E42=Dict!$A$2,IFERROR(SUM(AI42:AN42),"Ошибка: не заполнен параметр в п.4.1"),0)</f>
        <v>0</v>
      </c>
      <c r="U42" s="43"/>
      <c r="W42" s="297">
        <f t="shared" ref="W42:AB46" si="10">W$10*$W$20*$H42*J42</f>
        <v>0</v>
      </c>
      <c r="X42" s="297">
        <f t="shared" si="10"/>
        <v>0</v>
      </c>
      <c r="Y42" s="297">
        <f t="shared" si="10"/>
        <v>0</v>
      </c>
      <c r="Z42" s="297">
        <f t="shared" si="10"/>
        <v>0</v>
      </c>
      <c r="AA42" s="297">
        <f t="shared" si="10"/>
        <v>0</v>
      </c>
      <c r="AB42" s="297">
        <f t="shared" si="10"/>
        <v>0</v>
      </c>
      <c r="AC42" s="297">
        <f t="shared" ref="AC42:AH46" si="11">W$9*$X$20*$H42*J42</f>
        <v>0</v>
      </c>
      <c r="AD42" s="297">
        <f t="shared" si="11"/>
        <v>0</v>
      </c>
      <c r="AE42" s="297">
        <f t="shared" si="11"/>
        <v>0</v>
      </c>
      <c r="AF42" s="297">
        <f t="shared" si="11"/>
        <v>0</v>
      </c>
      <c r="AG42" s="297">
        <f t="shared" si="11"/>
        <v>0</v>
      </c>
      <c r="AH42" s="297">
        <f t="shared" si="11"/>
        <v>0</v>
      </c>
      <c r="AI42" s="297">
        <f>$Y$20*'Шаг 1. Основные исходные данные'!$E$9/100*$H42*J42</f>
        <v>0</v>
      </c>
      <c r="AJ42" s="297">
        <f>$Y$20*'Шаг 1. Основные исходные данные'!$E$9/100*$H42*K42</f>
        <v>0</v>
      </c>
      <c r="AK42" s="297">
        <f>$Y$20*'Шаг 1. Основные исходные данные'!$E$9/100*$H42*L42</f>
        <v>0</v>
      </c>
      <c r="AL42" s="297">
        <f>$Y$20*'Шаг 1. Основные исходные данные'!$E$9/100*$H42*M42</f>
        <v>0</v>
      </c>
      <c r="AM42" s="297">
        <f>$Y$20*'Шаг 1. Основные исходные данные'!$E$9/100*$H42*N42</f>
        <v>0</v>
      </c>
      <c r="AN42" s="297">
        <f>$Y$20*'Шаг 1. Основные исходные данные'!$E$9/100*$H42*O42</f>
        <v>0</v>
      </c>
    </row>
    <row r="43" spans="1:40" x14ac:dyDescent="0.25">
      <c r="A43" s="43"/>
      <c r="B43" s="43"/>
      <c r="C43" s="88" t="str">
        <f>IF(LEN(D43)&gt;0,C42+1,"")</f>
        <v/>
      </c>
      <c r="D43" s="75" t="str">
        <f>IF(AND(LEN($D$20)&gt;1,LEN($D$7)&gt;1),$D$7,"")</f>
        <v/>
      </c>
      <c r="E43" s="70"/>
      <c r="F43" s="44"/>
      <c r="G43" s="63"/>
      <c r="H43" s="69"/>
      <c r="I43" s="44"/>
      <c r="J43" s="96"/>
      <c r="K43" s="44"/>
      <c r="L43" s="44"/>
      <c r="M43" s="44"/>
      <c r="N43" s="44"/>
      <c r="O43" s="44"/>
      <c r="P43" s="44"/>
      <c r="Q43" s="73">
        <f>IF(F43=Dict!$A$2,IF($J$19=0,"Ошибка: не заполнен параметр в п.4.1",SUM(W43:AB43)),0)</f>
        <v>0</v>
      </c>
      <c r="R43" s="74">
        <f>IF(G43=Dict!$A$2,IF($M$19=0,"Ошибка: не заполнен параметр в п.4.1",SUM(AC43:AH43)),0)</f>
        <v>0</v>
      </c>
      <c r="S43" s="72">
        <f>IFERROR(HLOOKUP("Ошибка: не заполнен параметр в п.4.1",Q43:R43,1,0),SUM(Q43:R43))</f>
        <v>0</v>
      </c>
      <c r="T43" s="74">
        <f>IF(E43=Dict!$A$2,IFERROR(SUM(AI43:AN43),"Ошибка: не заполнен параметр в п.4.1"),0)</f>
        <v>0</v>
      </c>
      <c r="U43" s="43"/>
      <c r="W43" s="297">
        <f t="shared" si="10"/>
        <v>0</v>
      </c>
      <c r="X43" s="297">
        <f t="shared" si="10"/>
        <v>0</v>
      </c>
      <c r="Y43" s="297">
        <f t="shared" si="10"/>
        <v>0</v>
      </c>
      <c r="Z43" s="297">
        <f t="shared" si="10"/>
        <v>0</v>
      </c>
      <c r="AA43" s="297">
        <f t="shared" si="10"/>
        <v>0</v>
      </c>
      <c r="AB43" s="297">
        <f t="shared" si="10"/>
        <v>0</v>
      </c>
      <c r="AC43" s="297">
        <f t="shared" si="11"/>
        <v>0</v>
      </c>
      <c r="AD43" s="297">
        <f t="shared" si="11"/>
        <v>0</v>
      </c>
      <c r="AE43" s="297">
        <f t="shared" si="11"/>
        <v>0</v>
      </c>
      <c r="AF43" s="297">
        <f t="shared" si="11"/>
        <v>0</v>
      </c>
      <c r="AG43" s="297">
        <f t="shared" si="11"/>
        <v>0</v>
      </c>
      <c r="AH43" s="297">
        <f t="shared" si="11"/>
        <v>0</v>
      </c>
      <c r="AI43" s="297">
        <f>$Y$20*'Шаг 1. Основные исходные данные'!$E$9/100*$H43*J43</f>
        <v>0</v>
      </c>
      <c r="AJ43" s="297">
        <f>$Y$20*'Шаг 1. Основные исходные данные'!$E$9/100*$H43*K43</f>
        <v>0</v>
      </c>
      <c r="AK43" s="297">
        <f>$Y$20*'Шаг 1. Основные исходные данные'!$E$9/100*$H43*L43</f>
        <v>0</v>
      </c>
      <c r="AL43" s="297">
        <f>$Y$20*'Шаг 1. Основные исходные данные'!$E$9/100*$H43*M43</f>
        <v>0</v>
      </c>
      <c r="AM43" s="297">
        <f>$Y$20*'Шаг 1. Основные исходные данные'!$E$9/100*$H43*N43</f>
        <v>0</v>
      </c>
      <c r="AN43" s="297">
        <f>$Y$20*'Шаг 1. Основные исходные данные'!$E$9/100*$H43*O43</f>
        <v>0</v>
      </c>
    </row>
    <row r="44" spans="1:40" x14ac:dyDescent="0.25">
      <c r="A44" s="43"/>
      <c r="B44" s="43"/>
      <c r="C44" s="88" t="str">
        <f>IF(LEN(D44)&gt;0,C43+1,"")</f>
        <v/>
      </c>
      <c r="D44" s="75" t="str">
        <f>IF(AND(LEN($D$20)&gt;1,LEN($D$8)&gt;1),$D$8,"")</f>
        <v/>
      </c>
      <c r="E44" s="70"/>
      <c r="F44" s="44"/>
      <c r="G44" s="63"/>
      <c r="H44" s="69"/>
      <c r="I44" s="44"/>
      <c r="J44" s="96"/>
      <c r="K44" s="44"/>
      <c r="L44" s="44"/>
      <c r="M44" s="44"/>
      <c r="N44" s="44"/>
      <c r="O44" s="44"/>
      <c r="P44" s="44"/>
      <c r="Q44" s="73">
        <f>IF(F44=Dict!$A$2,IF($J$19=0,"Ошибка: не заполнен параметр в п.4.1",SUM(W44:AB44)),0)</f>
        <v>0</v>
      </c>
      <c r="R44" s="74">
        <f>IF(G44=Dict!$A$2,IF($M$19=0,"Ошибка: не заполнен параметр в п.4.1",SUM(AC44:AH44)),0)</f>
        <v>0</v>
      </c>
      <c r="S44" s="72">
        <f>IFERROR(HLOOKUP("Ошибка: не заполнен параметр в п.4.1",Q44:R44,1,0),SUM(Q44:R44))</f>
        <v>0</v>
      </c>
      <c r="T44" s="74">
        <f>IF(E44=Dict!$A$2,IFERROR(SUM(AI44:AN44),"Ошибка: не заполнен параметр в п.4.1"),0)</f>
        <v>0</v>
      </c>
      <c r="U44" s="43"/>
      <c r="W44" s="297">
        <f t="shared" si="10"/>
        <v>0</v>
      </c>
      <c r="X44" s="297">
        <f t="shared" si="10"/>
        <v>0</v>
      </c>
      <c r="Y44" s="297">
        <f t="shared" si="10"/>
        <v>0</v>
      </c>
      <c r="Z44" s="297">
        <f t="shared" si="10"/>
        <v>0</v>
      </c>
      <c r="AA44" s="297">
        <f t="shared" si="10"/>
        <v>0</v>
      </c>
      <c r="AB44" s="297">
        <f t="shared" si="10"/>
        <v>0</v>
      </c>
      <c r="AC44" s="297">
        <f t="shared" si="11"/>
        <v>0</v>
      </c>
      <c r="AD44" s="297">
        <f t="shared" si="11"/>
        <v>0</v>
      </c>
      <c r="AE44" s="297">
        <f t="shared" si="11"/>
        <v>0</v>
      </c>
      <c r="AF44" s="297">
        <f t="shared" si="11"/>
        <v>0</v>
      </c>
      <c r="AG44" s="297">
        <f t="shared" si="11"/>
        <v>0</v>
      </c>
      <c r="AH44" s="297">
        <f t="shared" si="11"/>
        <v>0</v>
      </c>
      <c r="AI44" s="297">
        <f>$Y$20*'Шаг 1. Основные исходные данные'!$E$9/100*$H44*J44</f>
        <v>0</v>
      </c>
      <c r="AJ44" s="297">
        <f>$Y$20*'Шаг 1. Основные исходные данные'!$E$9/100*$H44*K44</f>
        <v>0</v>
      </c>
      <c r="AK44" s="297">
        <f>$Y$20*'Шаг 1. Основные исходные данные'!$E$9/100*$H44*L44</f>
        <v>0</v>
      </c>
      <c r="AL44" s="297">
        <f>$Y$20*'Шаг 1. Основные исходные данные'!$E$9/100*$H44*M44</f>
        <v>0</v>
      </c>
      <c r="AM44" s="297">
        <f>$Y$20*'Шаг 1. Основные исходные данные'!$E$9/100*$H44*N44</f>
        <v>0</v>
      </c>
      <c r="AN44" s="297">
        <f>$Y$20*'Шаг 1. Основные исходные данные'!$E$9/100*$H44*O44</f>
        <v>0</v>
      </c>
    </row>
    <row r="45" spans="1:40" x14ac:dyDescent="0.25">
      <c r="A45" s="43"/>
      <c r="B45" s="43"/>
      <c r="C45" s="88" t="str">
        <f>IF(LEN(D45)&gt;0,C44+1,"")</f>
        <v/>
      </c>
      <c r="D45" s="75" t="str">
        <f>IF(AND(LEN($D$20)&gt;1,LEN($D$9)&gt;1),$D$9,"")</f>
        <v/>
      </c>
      <c r="E45" s="70"/>
      <c r="F45" s="44"/>
      <c r="G45" s="63"/>
      <c r="H45" s="69"/>
      <c r="I45" s="44"/>
      <c r="J45" s="96"/>
      <c r="K45" s="44"/>
      <c r="L45" s="44"/>
      <c r="M45" s="44"/>
      <c r="N45" s="44"/>
      <c r="O45" s="44"/>
      <c r="P45" s="44"/>
      <c r="Q45" s="73">
        <f>IF(F45=Dict!$A$2,IF($J$19=0,"Ошибка: не заполнен параметр в п.4.1",SUM(W45:AB45)),0)</f>
        <v>0</v>
      </c>
      <c r="R45" s="74">
        <f>IF(G45=Dict!$A$2,IF($M$19=0,"Ошибка: не заполнен параметр в п.4.1",SUM(AC45:AH45)),0)</f>
        <v>0</v>
      </c>
      <c r="S45" s="72">
        <f>IFERROR(HLOOKUP("Ошибка: не заполнен параметр в п.4.1",Q45:R45,1,0),SUM(Q45:R45))</f>
        <v>0</v>
      </c>
      <c r="T45" s="74">
        <f>IF(E45=Dict!$A$2,IFERROR(SUM(AI45:AN45),"Ошибка: не заполнен параметр в п.4.1"),0)</f>
        <v>0</v>
      </c>
      <c r="U45" s="43"/>
      <c r="W45" s="297">
        <f t="shared" si="10"/>
        <v>0</v>
      </c>
      <c r="X45" s="297">
        <f t="shared" si="10"/>
        <v>0</v>
      </c>
      <c r="Y45" s="297">
        <f t="shared" si="10"/>
        <v>0</v>
      </c>
      <c r="Z45" s="297">
        <f t="shared" si="10"/>
        <v>0</v>
      </c>
      <c r="AA45" s="297">
        <f t="shared" si="10"/>
        <v>0</v>
      </c>
      <c r="AB45" s="297">
        <f t="shared" si="10"/>
        <v>0</v>
      </c>
      <c r="AC45" s="297">
        <f t="shared" si="11"/>
        <v>0</v>
      </c>
      <c r="AD45" s="297">
        <f t="shared" si="11"/>
        <v>0</v>
      </c>
      <c r="AE45" s="297">
        <f t="shared" si="11"/>
        <v>0</v>
      </c>
      <c r="AF45" s="297">
        <f t="shared" si="11"/>
        <v>0</v>
      </c>
      <c r="AG45" s="297">
        <f t="shared" si="11"/>
        <v>0</v>
      </c>
      <c r="AH45" s="297">
        <f t="shared" si="11"/>
        <v>0</v>
      </c>
      <c r="AI45" s="297">
        <f>$Y$20*'Шаг 1. Основные исходные данные'!$E$9/100*$H45*J45</f>
        <v>0</v>
      </c>
      <c r="AJ45" s="297">
        <f>$Y$20*'Шаг 1. Основные исходные данные'!$E$9/100*$H45*K45</f>
        <v>0</v>
      </c>
      <c r="AK45" s="297">
        <f>$Y$20*'Шаг 1. Основные исходные данные'!$E$9/100*$H45*L45</f>
        <v>0</v>
      </c>
      <c r="AL45" s="297">
        <f>$Y$20*'Шаг 1. Основные исходные данные'!$E$9/100*$H45*M45</f>
        <v>0</v>
      </c>
      <c r="AM45" s="297">
        <f>$Y$20*'Шаг 1. Основные исходные данные'!$E$9/100*$H45*N45</f>
        <v>0</v>
      </c>
      <c r="AN45" s="297">
        <f>$Y$20*'Шаг 1. Основные исходные данные'!$E$9/100*$H45*O45</f>
        <v>0</v>
      </c>
    </row>
    <row r="46" spans="1:40" x14ac:dyDescent="0.25">
      <c r="A46" s="43"/>
      <c r="B46" s="43"/>
      <c r="C46" s="88" t="str">
        <f>IF(LEN(D46)&gt;0,C45+1,"")</f>
        <v/>
      </c>
      <c r="D46" s="75" t="str">
        <f>IF(AND(LEN($D$20)&gt;1,LEN($D$10)&gt;1),$D$10,"")</f>
        <v/>
      </c>
      <c r="E46" s="71"/>
      <c r="F46" s="65"/>
      <c r="G46" s="68"/>
      <c r="H46" s="69"/>
      <c r="I46" s="44"/>
      <c r="J46" s="96"/>
      <c r="K46" s="44"/>
      <c r="L46" s="44"/>
      <c r="M46" s="44"/>
      <c r="N46" s="44"/>
      <c r="O46" s="44"/>
      <c r="P46" s="44"/>
      <c r="Q46" s="73">
        <f>IF(F46=Dict!$A$2,IF($J$19=0,"Ошибка: не заполнен параметр в п.4.1",SUM(W46:AB46)),0)</f>
        <v>0</v>
      </c>
      <c r="R46" s="74">
        <f>IF(G46=Dict!$A$2,IF($M$19=0,"Ошибка: не заполнен параметр в п.4.1",SUM(AC46:AH46)),0)</f>
        <v>0</v>
      </c>
      <c r="S46" s="72">
        <f>IFERROR(HLOOKUP("Ошибка: не заполнен параметр в п.4.1",Q46:R46,1,0),SUM(Q46:R46))</f>
        <v>0</v>
      </c>
      <c r="T46" s="74">
        <f>IF(E46=Dict!$A$2,IFERROR(SUM(AI46:AN46),"Ошибка: не заполнен параметр в п.4.1"),0)</f>
        <v>0</v>
      </c>
      <c r="U46" s="43"/>
      <c r="W46" s="297">
        <f t="shared" si="10"/>
        <v>0</v>
      </c>
      <c r="X46" s="297">
        <f t="shared" si="10"/>
        <v>0</v>
      </c>
      <c r="Y46" s="297">
        <f t="shared" si="10"/>
        <v>0</v>
      </c>
      <c r="Z46" s="297">
        <f t="shared" si="10"/>
        <v>0</v>
      </c>
      <c r="AA46" s="297">
        <f t="shared" si="10"/>
        <v>0</v>
      </c>
      <c r="AB46" s="297">
        <f t="shared" si="10"/>
        <v>0</v>
      </c>
      <c r="AC46" s="297">
        <f t="shared" si="11"/>
        <v>0</v>
      </c>
      <c r="AD46" s="297">
        <f t="shared" si="11"/>
        <v>0</v>
      </c>
      <c r="AE46" s="297">
        <f t="shared" si="11"/>
        <v>0</v>
      </c>
      <c r="AF46" s="297">
        <f t="shared" si="11"/>
        <v>0</v>
      </c>
      <c r="AG46" s="297">
        <f t="shared" si="11"/>
        <v>0</v>
      </c>
      <c r="AH46" s="297">
        <f t="shared" si="11"/>
        <v>0</v>
      </c>
      <c r="AI46" s="297">
        <f>$Y$20*'Шаг 1. Основные исходные данные'!$E$9/100*$H46*J46</f>
        <v>0</v>
      </c>
      <c r="AJ46" s="297">
        <f>$Y$20*'Шаг 1. Основные исходные данные'!$E$9/100*$H46*K46</f>
        <v>0</v>
      </c>
      <c r="AK46" s="297">
        <f>$Y$20*'Шаг 1. Основные исходные данные'!$E$9/100*$H46*L46</f>
        <v>0</v>
      </c>
      <c r="AL46" s="297">
        <f>$Y$20*'Шаг 1. Основные исходные данные'!$E$9/100*$H46*M46</f>
        <v>0</v>
      </c>
      <c r="AM46" s="297">
        <f>$Y$20*'Шаг 1. Основные исходные данные'!$E$9/100*$H46*N46</f>
        <v>0</v>
      </c>
      <c r="AN46" s="297">
        <f>$Y$20*'Шаг 1. Основные исходные данные'!$E$9/100*$H46*O46</f>
        <v>0</v>
      </c>
    </row>
    <row r="47" spans="1:40" ht="19.899999999999999" customHeight="1" x14ac:dyDescent="0.25">
      <c r="A47" s="43"/>
      <c r="B47" s="43"/>
      <c r="C47" s="35" t="s">
        <v>95</v>
      </c>
      <c r="D47" s="35"/>
      <c r="E47" s="35"/>
      <c r="F47" s="35"/>
      <c r="G47" s="35"/>
      <c r="H47" s="35"/>
      <c r="I47" s="35"/>
      <c r="J47" s="35"/>
      <c r="K47" s="35"/>
      <c r="L47" s="35"/>
      <c r="M47" s="35"/>
      <c r="N47" s="35"/>
      <c r="O47" s="35"/>
      <c r="P47" s="35"/>
      <c r="Q47" s="57">
        <f t="shared" ref="Q47:T47" si="12">IFERROR(VLOOKUP("Ошибка: не заполнен параметр в п.4.1",Q42:Q46,1,0),SUM(Q42:Q46))</f>
        <v>0</v>
      </c>
      <c r="R47" s="57">
        <f t="shared" si="12"/>
        <v>0</v>
      </c>
      <c r="S47" s="57">
        <f t="shared" si="12"/>
        <v>0</v>
      </c>
      <c r="T47" s="57">
        <f t="shared" si="12"/>
        <v>0</v>
      </c>
      <c r="U47" s="43"/>
      <c r="W47" s="298">
        <f>SUM(W42:W46)</f>
        <v>0</v>
      </c>
      <c r="X47" s="298">
        <f t="shared" ref="X47" si="13">SUM(X42:X46)</f>
        <v>0</v>
      </c>
      <c r="Y47" s="298">
        <f t="shared" ref="Y47" si="14">SUM(Y42:Y46)</f>
        <v>0</v>
      </c>
      <c r="Z47" s="298">
        <f t="shared" ref="Z47" si="15">SUM(Z42:Z46)</f>
        <v>0</v>
      </c>
      <c r="AA47" s="298">
        <f t="shared" ref="AA47" si="16">SUM(AA42:AA46)</f>
        <v>0</v>
      </c>
      <c r="AB47" s="298">
        <f t="shared" ref="AB47" si="17">SUM(AB42:AB46)</f>
        <v>0</v>
      </c>
      <c r="AC47" s="299">
        <f>SUM(AC42:AC46)</f>
        <v>0</v>
      </c>
      <c r="AD47" s="299">
        <f t="shared" ref="AD47" si="18">SUM(AD42:AD46)</f>
        <v>0</v>
      </c>
      <c r="AE47" s="299">
        <f t="shared" ref="AE47" si="19">SUM(AE42:AE46)</f>
        <v>0</v>
      </c>
      <c r="AF47" s="299">
        <f t="shared" ref="AF47" si="20">SUM(AF42:AF46)</f>
        <v>0</v>
      </c>
      <c r="AG47" s="299">
        <f t="shared" ref="AG47" si="21">SUM(AG42:AG46)</f>
        <v>0</v>
      </c>
      <c r="AH47" s="299">
        <f t="shared" ref="AH47" si="22">SUM(AH42:AH46)</f>
        <v>0</v>
      </c>
      <c r="AI47" s="299">
        <f>SUM(AI42:AI46)</f>
        <v>0</v>
      </c>
      <c r="AJ47" s="299">
        <f t="shared" ref="AJ47" si="23">SUM(AJ42:AJ46)</f>
        <v>0</v>
      </c>
      <c r="AK47" s="299">
        <f t="shared" ref="AK47" si="24">SUM(AK42:AK46)</f>
        <v>0</v>
      </c>
      <c r="AL47" s="299">
        <f t="shared" ref="AL47" si="25">SUM(AL42:AL46)</f>
        <v>0</v>
      </c>
      <c r="AM47" s="299">
        <f t="shared" ref="AM47" si="26">SUM(AM42:AM46)</f>
        <v>0</v>
      </c>
      <c r="AN47" s="299">
        <f t="shared" ref="AN47" si="27">SUM(AN42:AN46)</f>
        <v>0</v>
      </c>
    </row>
    <row r="48" spans="1:40" x14ac:dyDescent="0.25">
      <c r="A48" s="43"/>
      <c r="B48" s="43"/>
      <c r="C48" s="43"/>
      <c r="D48" s="43"/>
      <c r="E48" s="43"/>
      <c r="F48" s="43"/>
      <c r="G48" s="43"/>
      <c r="H48" s="43"/>
      <c r="I48" s="43"/>
      <c r="J48" s="43"/>
      <c r="K48" s="43"/>
      <c r="L48" s="43"/>
      <c r="M48" s="43"/>
      <c r="N48" s="43"/>
      <c r="O48" s="43"/>
      <c r="P48" s="43"/>
      <c r="Q48" s="43"/>
      <c r="R48" s="43"/>
      <c r="S48" s="43"/>
      <c r="T48" s="43"/>
      <c r="U48" s="43"/>
      <c r="W48" s="300"/>
      <c r="X48" s="300"/>
      <c r="Y48" s="300"/>
      <c r="Z48" s="300"/>
      <c r="AA48" s="300"/>
      <c r="AB48" s="300"/>
      <c r="AC48" s="301"/>
      <c r="AD48" s="301"/>
      <c r="AE48" s="301"/>
      <c r="AF48" s="301"/>
      <c r="AG48" s="301"/>
      <c r="AH48" s="301"/>
      <c r="AI48" s="301"/>
      <c r="AJ48" s="301"/>
      <c r="AK48" s="301"/>
      <c r="AL48" s="301"/>
      <c r="AM48" s="301"/>
      <c r="AN48" s="301"/>
    </row>
    <row r="49" spans="1:40" x14ac:dyDescent="0.25">
      <c r="A49" s="43"/>
      <c r="B49" s="43"/>
      <c r="C49" s="43"/>
      <c r="D49" s="43"/>
      <c r="E49" s="43"/>
      <c r="F49" s="43"/>
      <c r="G49" s="43"/>
      <c r="H49" s="43"/>
      <c r="I49" s="43"/>
      <c r="J49" s="43"/>
      <c r="K49" s="43"/>
      <c r="L49" s="43"/>
      <c r="M49" s="43"/>
      <c r="N49" s="43"/>
      <c r="O49" s="43"/>
      <c r="P49" s="43"/>
      <c r="Q49" s="43"/>
      <c r="R49" s="43"/>
      <c r="S49" s="43"/>
      <c r="T49" s="43"/>
      <c r="U49" s="43"/>
      <c r="W49" s="302"/>
      <c r="X49" s="302"/>
      <c r="Y49" s="302"/>
      <c r="Z49" s="302"/>
      <c r="AA49" s="302"/>
      <c r="AB49" s="302"/>
      <c r="AC49" s="301"/>
      <c r="AD49" s="301"/>
      <c r="AE49" s="301"/>
      <c r="AF49" s="301"/>
      <c r="AG49" s="301"/>
      <c r="AH49" s="301"/>
      <c r="AI49" s="301"/>
      <c r="AJ49" s="301"/>
      <c r="AK49" s="301"/>
      <c r="AL49" s="301"/>
      <c r="AM49" s="301"/>
      <c r="AN49" s="301"/>
    </row>
    <row r="50" spans="1:40" x14ac:dyDescent="0.25">
      <c r="A50" s="43"/>
      <c r="B50" s="43"/>
      <c r="C50" s="36" t="str">
        <f>CONCATENATE("4.2.",$C$21,". Издержки простоя группы объектов ",$C$21," - """,$D$21,"""")</f>
        <v>4.2.. Издержки простоя группы объектов  - ""</v>
      </c>
      <c r="D50" s="43"/>
      <c r="E50" s="43"/>
      <c r="F50" s="43"/>
      <c r="G50" s="43"/>
      <c r="H50" s="43"/>
      <c r="I50" s="43"/>
      <c r="J50" s="43"/>
      <c r="K50" s="43"/>
      <c r="L50" s="43"/>
      <c r="M50" s="43"/>
      <c r="N50" s="43"/>
      <c r="O50" s="43"/>
      <c r="P50" s="43"/>
      <c r="Q50" s="43"/>
      <c r="R50" s="43"/>
      <c r="S50" s="43"/>
      <c r="T50" s="43"/>
      <c r="U50" s="43"/>
      <c r="W50" s="302"/>
      <c r="X50" s="302"/>
      <c r="Y50" s="302"/>
      <c r="Z50" s="302"/>
      <c r="AA50" s="302"/>
      <c r="AB50" s="302"/>
      <c r="AC50" s="301"/>
      <c r="AD50" s="301"/>
      <c r="AE50" s="301"/>
      <c r="AF50" s="301"/>
      <c r="AG50" s="301"/>
      <c r="AH50" s="301"/>
      <c r="AI50" s="301"/>
      <c r="AJ50" s="301"/>
      <c r="AK50" s="301"/>
      <c r="AL50" s="301"/>
      <c r="AM50" s="301"/>
      <c r="AN50" s="301"/>
    </row>
    <row r="51" spans="1:40" x14ac:dyDescent="0.25">
      <c r="A51" s="43"/>
      <c r="B51" s="43"/>
      <c r="C51" s="43"/>
      <c r="D51" s="43"/>
      <c r="E51" s="43"/>
      <c r="F51" s="43"/>
      <c r="G51" s="43"/>
      <c r="H51" s="43"/>
      <c r="I51" s="43"/>
      <c r="J51" s="43"/>
      <c r="K51" s="43"/>
      <c r="L51" s="43"/>
      <c r="M51" s="43"/>
      <c r="N51" s="43"/>
      <c r="O51" s="43"/>
      <c r="P51" s="43"/>
      <c r="Q51" s="43"/>
      <c r="R51" s="43"/>
      <c r="S51" s="43"/>
      <c r="T51" s="43"/>
      <c r="U51" s="43"/>
      <c r="W51" s="302"/>
      <c r="X51" s="302"/>
      <c r="Y51" s="302"/>
      <c r="Z51" s="302"/>
      <c r="AA51" s="302"/>
      <c r="AB51" s="302"/>
      <c r="AC51" s="303"/>
      <c r="AD51" s="301"/>
      <c r="AE51" s="301"/>
      <c r="AF51" s="301"/>
      <c r="AG51" s="301"/>
      <c r="AH51" s="301"/>
      <c r="AI51" s="303"/>
      <c r="AJ51" s="301"/>
      <c r="AK51" s="301"/>
      <c r="AL51" s="301"/>
      <c r="AM51" s="301"/>
      <c r="AN51" s="301"/>
    </row>
    <row r="52" spans="1:40" ht="19.899999999999999" customHeight="1" x14ac:dyDescent="0.25">
      <c r="A52" s="43"/>
      <c r="B52" s="43"/>
      <c r="C52" s="326" t="s">
        <v>62</v>
      </c>
      <c r="D52" s="326" t="s">
        <v>94</v>
      </c>
      <c r="E52" s="348" t="s">
        <v>1176</v>
      </c>
      <c r="F52" s="349"/>
      <c r="G52" s="350"/>
      <c r="H52" s="351" t="s">
        <v>1239</v>
      </c>
      <c r="I52" s="326" t="s">
        <v>1305</v>
      </c>
      <c r="J52" s="326" t="s">
        <v>1240</v>
      </c>
      <c r="K52" s="326"/>
      <c r="L52" s="326"/>
      <c r="M52" s="326"/>
      <c r="N52" s="326"/>
      <c r="O52" s="326"/>
      <c r="P52" s="326" t="s">
        <v>1306</v>
      </c>
      <c r="Q52" s="286" t="s">
        <v>1236</v>
      </c>
      <c r="R52" s="287"/>
      <c r="S52" s="351" t="s">
        <v>1241</v>
      </c>
      <c r="T52" s="326" t="s">
        <v>1271</v>
      </c>
      <c r="U52" s="43"/>
      <c r="W52" s="303" t="s">
        <v>1246</v>
      </c>
      <c r="X52" s="302"/>
      <c r="Y52" s="302"/>
      <c r="Z52" s="302"/>
      <c r="AA52" s="302"/>
      <c r="AB52" s="302"/>
      <c r="AC52" s="303" t="s">
        <v>1247</v>
      </c>
      <c r="AD52" s="301"/>
      <c r="AE52" s="301"/>
      <c r="AF52" s="301"/>
      <c r="AG52" s="301"/>
      <c r="AH52" s="301"/>
      <c r="AI52" s="303" t="s">
        <v>1248</v>
      </c>
      <c r="AJ52" s="301"/>
      <c r="AK52" s="301"/>
      <c r="AL52" s="301"/>
      <c r="AM52" s="301"/>
      <c r="AN52" s="301"/>
    </row>
    <row r="53" spans="1:40" s="61" customFormat="1" ht="94.5" x14ac:dyDescent="0.25">
      <c r="A53" s="60"/>
      <c r="B53" s="60"/>
      <c r="C53" s="326"/>
      <c r="D53" s="326"/>
      <c r="E53" s="288" t="s">
        <v>109</v>
      </c>
      <c r="F53" s="289" t="s">
        <v>1243</v>
      </c>
      <c r="G53" s="290" t="s">
        <v>1244</v>
      </c>
      <c r="H53" s="352"/>
      <c r="I53" s="326"/>
      <c r="J53" s="125" t="str">
        <f>IF(1&lt;='Шаг 1. Основные исходные данные'!$E$5,"1 год","-")</f>
        <v>1 год</v>
      </c>
      <c r="K53" s="125" t="str">
        <f>IF(2&lt;='Шаг 1. Основные исходные данные'!$E$5,"2 год","-")</f>
        <v>2 год</v>
      </c>
      <c r="L53" s="125" t="str">
        <f>IF(3&lt;='Шаг 1. Основные исходные данные'!$E$5,"3 год","-")</f>
        <v>3 год</v>
      </c>
      <c r="M53" s="125" t="str">
        <f>IF(4&lt;='Шаг 1. Основные исходные данные'!$E$5,"4 год","-")</f>
        <v>4 год</v>
      </c>
      <c r="N53" s="125" t="str">
        <f>IF(5&lt;='Шаг 1. Основные исходные данные'!$E$5,"5 год","-")</f>
        <v>5 год</v>
      </c>
      <c r="O53" s="125" t="str">
        <f>IF(6&lt;='Шаг 1. Основные исходные данные'!$E$5,"6 год","-")</f>
        <v>6 год</v>
      </c>
      <c r="P53" s="326"/>
      <c r="Q53" s="79" t="s">
        <v>92</v>
      </c>
      <c r="R53" s="78" t="s">
        <v>93</v>
      </c>
      <c r="S53" s="352"/>
      <c r="T53" s="327"/>
      <c r="U53" s="43"/>
      <c r="W53" s="304" t="s">
        <v>1221</v>
      </c>
      <c r="X53" s="304" t="s">
        <v>1223</v>
      </c>
      <c r="Y53" s="304" t="s">
        <v>1224</v>
      </c>
      <c r="Z53" s="304" t="s">
        <v>1225</v>
      </c>
      <c r="AA53" s="304" t="s">
        <v>1226</v>
      </c>
      <c r="AB53" s="304" t="s">
        <v>1227</v>
      </c>
      <c r="AC53" s="304" t="s">
        <v>1221</v>
      </c>
      <c r="AD53" s="304" t="s">
        <v>1223</v>
      </c>
      <c r="AE53" s="304" t="s">
        <v>1224</v>
      </c>
      <c r="AF53" s="304" t="s">
        <v>1225</v>
      </c>
      <c r="AG53" s="304" t="s">
        <v>1226</v>
      </c>
      <c r="AH53" s="304" t="s">
        <v>1227</v>
      </c>
      <c r="AI53" s="304" t="s">
        <v>1221</v>
      </c>
      <c r="AJ53" s="304" t="s">
        <v>1223</v>
      </c>
      <c r="AK53" s="304" t="s">
        <v>1224</v>
      </c>
      <c r="AL53" s="304" t="s">
        <v>1225</v>
      </c>
      <c r="AM53" s="304" t="s">
        <v>1226</v>
      </c>
      <c r="AN53" s="304" t="s">
        <v>1227</v>
      </c>
    </row>
    <row r="54" spans="1:40" x14ac:dyDescent="0.25">
      <c r="A54" s="43"/>
      <c r="B54" s="43"/>
      <c r="C54" s="88" t="str">
        <f>IF(LEN(D54)&gt;0,1,"")</f>
        <v/>
      </c>
      <c r="D54" s="75" t="str">
        <f>IF(AND(LEN($D$21)&gt;1,LEN($D$6)&gt;1),$D$6,"")</f>
        <v/>
      </c>
      <c r="E54" s="70"/>
      <c r="F54" s="44"/>
      <c r="G54" s="63"/>
      <c r="H54" s="69"/>
      <c r="I54" s="44"/>
      <c r="J54" s="96"/>
      <c r="K54" s="44"/>
      <c r="L54" s="44"/>
      <c r="M54" s="44"/>
      <c r="N54" s="44"/>
      <c r="O54" s="44"/>
      <c r="P54" s="44"/>
      <c r="Q54" s="73">
        <f>IF(F54=Dict!$A$2,IF($J$19=0,"Ошибка: не заполнен параметр в п.4.1",SUM(W54:AB54)),0)</f>
        <v>0</v>
      </c>
      <c r="R54" s="74">
        <f>IF(G54=Dict!$A$2,IF($M$19=0,"Ошибка: не заполнен параметр в п.4.1",SUM(AC54:AH54)),0)</f>
        <v>0</v>
      </c>
      <c r="S54" s="72">
        <f>IFERROR(HLOOKUP("Ошибка: не заполнен параметр в п.4.1",Q54:R54,1,0),SUM(Q54:R54))</f>
        <v>0</v>
      </c>
      <c r="T54" s="74">
        <f>IF(E54=Dict!$A$2,IFERROR(SUM(AI54:AN54),"Ошибка: не заполнен параметр в п.4.1"),0)</f>
        <v>0</v>
      </c>
      <c r="U54" s="43"/>
      <c r="W54" s="297">
        <f t="shared" ref="W54:AB58" si="28">W$10*$W$21*$H54*J54</f>
        <v>0</v>
      </c>
      <c r="X54" s="297">
        <f t="shared" si="28"/>
        <v>0</v>
      </c>
      <c r="Y54" s="297">
        <f t="shared" si="28"/>
        <v>0</v>
      </c>
      <c r="Z54" s="297">
        <f t="shared" si="28"/>
        <v>0</v>
      </c>
      <c r="AA54" s="297">
        <f t="shared" si="28"/>
        <v>0</v>
      </c>
      <c r="AB54" s="297">
        <f t="shared" si="28"/>
        <v>0</v>
      </c>
      <c r="AC54" s="297">
        <f t="shared" ref="AC54:AH58" si="29">W$9*$X$21*$H54*J54</f>
        <v>0</v>
      </c>
      <c r="AD54" s="297">
        <f t="shared" si="29"/>
        <v>0</v>
      </c>
      <c r="AE54" s="297">
        <f t="shared" si="29"/>
        <v>0</v>
      </c>
      <c r="AF54" s="297">
        <f t="shared" si="29"/>
        <v>0</v>
      </c>
      <c r="AG54" s="297">
        <f t="shared" si="29"/>
        <v>0</v>
      </c>
      <c r="AH54" s="297">
        <f t="shared" si="29"/>
        <v>0</v>
      </c>
      <c r="AI54" s="297">
        <f>$Y$21*'Шаг 1. Основные исходные данные'!$E$9/100*$H54*J54</f>
        <v>0</v>
      </c>
      <c r="AJ54" s="297">
        <f>$Y$21*'Шаг 1. Основные исходные данные'!$E$9/100*$H54*K54</f>
        <v>0</v>
      </c>
      <c r="AK54" s="297">
        <f>$Y$21*'Шаг 1. Основные исходные данные'!$E$9/100*$H54*L54</f>
        <v>0</v>
      </c>
      <c r="AL54" s="297">
        <f>$Y$21*'Шаг 1. Основные исходные данные'!$E$9/100*$H54*M54</f>
        <v>0</v>
      </c>
      <c r="AM54" s="297">
        <f>$Y$21*'Шаг 1. Основные исходные данные'!$E$9/100*$H54*N54</f>
        <v>0</v>
      </c>
      <c r="AN54" s="297">
        <f>$Y$21*'Шаг 1. Основные исходные данные'!$E$9/100*$H54*O54</f>
        <v>0</v>
      </c>
    </row>
    <row r="55" spans="1:40" x14ac:dyDescent="0.25">
      <c r="A55" s="43"/>
      <c r="B55" s="43"/>
      <c r="C55" s="88" t="str">
        <f>IF(LEN(D55)&gt;0,C54+1,"")</f>
        <v/>
      </c>
      <c r="D55" s="75" t="str">
        <f>IF(AND(LEN($D$21)&gt;1,LEN($D$7)&gt;1),$D$7,"")</f>
        <v/>
      </c>
      <c r="E55" s="70"/>
      <c r="F55" s="44"/>
      <c r="G55" s="63"/>
      <c r="H55" s="69"/>
      <c r="I55" s="44"/>
      <c r="J55" s="96"/>
      <c r="K55" s="44"/>
      <c r="L55" s="44"/>
      <c r="M55" s="44"/>
      <c r="N55" s="44"/>
      <c r="O55" s="44"/>
      <c r="P55" s="44"/>
      <c r="Q55" s="73">
        <f>IF(F55=Dict!$A$2,IF($J$19=0,"Ошибка: не заполнен параметр в п.4.1",SUM(W55:AB55)),0)</f>
        <v>0</v>
      </c>
      <c r="R55" s="74">
        <f>IF(G55=Dict!$A$2,IF($M$19=0,"Ошибка: не заполнен параметр в п.4.1",SUM(AC55:AH55)),0)</f>
        <v>0</v>
      </c>
      <c r="S55" s="72">
        <f>IFERROR(HLOOKUP("Ошибка: не заполнен параметр в п.4.1",Q55:R55,1,0),SUM(Q55:R55))</f>
        <v>0</v>
      </c>
      <c r="T55" s="74">
        <f>IF(E55=Dict!$A$2,IFERROR(SUM(AI55:AN55),"Ошибка: не заполнен параметр в п.4.1"),0)</f>
        <v>0</v>
      </c>
      <c r="U55" s="43"/>
      <c r="W55" s="297">
        <f t="shared" si="28"/>
        <v>0</v>
      </c>
      <c r="X55" s="297">
        <f t="shared" si="28"/>
        <v>0</v>
      </c>
      <c r="Y55" s="297">
        <f t="shared" si="28"/>
        <v>0</v>
      </c>
      <c r="Z55" s="297">
        <f t="shared" si="28"/>
        <v>0</v>
      </c>
      <c r="AA55" s="297">
        <f t="shared" si="28"/>
        <v>0</v>
      </c>
      <c r="AB55" s="297">
        <f t="shared" si="28"/>
        <v>0</v>
      </c>
      <c r="AC55" s="297">
        <f t="shared" si="29"/>
        <v>0</v>
      </c>
      <c r="AD55" s="297">
        <f t="shared" si="29"/>
        <v>0</v>
      </c>
      <c r="AE55" s="297">
        <f t="shared" si="29"/>
        <v>0</v>
      </c>
      <c r="AF55" s="297">
        <f t="shared" si="29"/>
        <v>0</v>
      </c>
      <c r="AG55" s="297">
        <f t="shared" si="29"/>
        <v>0</v>
      </c>
      <c r="AH55" s="297">
        <f t="shared" si="29"/>
        <v>0</v>
      </c>
      <c r="AI55" s="297">
        <f>$Y$21*'Шаг 1. Основные исходные данные'!$E$9/100*$H55*J55</f>
        <v>0</v>
      </c>
      <c r="AJ55" s="297">
        <f>$Y$21*'Шаг 1. Основные исходные данные'!$E$9/100*$H55*K55</f>
        <v>0</v>
      </c>
      <c r="AK55" s="297">
        <f>$Y$21*'Шаг 1. Основные исходные данные'!$E$9/100*$H55*L55</f>
        <v>0</v>
      </c>
      <c r="AL55" s="297">
        <f>$Y$21*'Шаг 1. Основные исходные данные'!$E$9/100*$H55*M55</f>
        <v>0</v>
      </c>
      <c r="AM55" s="297">
        <f>$Y$21*'Шаг 1. Основные исходные данные'!$E$9/100*$H55*N55</f>
        <v>0</v>
      </c>
      <c r="AN55" s="297">
        <f>$Y$21*'Шаг 1. Основные исходные данные'!$E$9/100*$H55*O55</f>
        <v>0</v>
      </c>
    </row>
    <row r="56" spans="1:40" x14ac:dyDescent="0.25">
      <c r="A56" s="43"/>
      <c r="B56" s="43"/>
      <c r="C56" s="88" t="str">
        <f>IF(LEN(D56)&gt;0,C55+1,"")</f>
        <v/>
      </c>
      <c r="D56" s="75" t="str">
        <f>IF(AND(LEN($D$21)&gt;1,LEN($D$8)&gt;1),$D$8,"")</f>
        <v/>
      </c>
      <c r="E56" s="70"/>
      <c r="F56" s="44"/>
      <c r="G56" s="63"/>
      <c r="H56" s="69"/>
      <c r="I56" s="44"/>
      <c r="J56" s="96"/>
      <c r="K56" s="44"/>
      <c r="L56" s="44"/>
      <c r="M56" s="44"/>
      <c r="N56" s="44"/>
      <c r="O56" s="44"/>
      <c r="P56" s="44"/>
      <c r="Q56" s="73">
        <f>IF(F56=Dict!$A$2,IF($J$19=0,"Ошибка: не заполнен параметр в п.4.1",SUM(W56:AB56)),0)</f>
        <v>0</v>
      </c>
      <c r="R56" s="74">
        <f>IF(G56=Dict!$A$2,IF($M$19=0,"Ошибка: не заполнен параметр в п.4.1",SUM(AC56:AH56)),0)</f>
        <v>0</v>
      </c>
      <c r="S56" s="72">
        <f>IFERROR(HLOOKUP("Ошибка: не заполнен параметр в п.4.1",Q56:R56,1,0),SUM(Q56:R56))</f>
        <v>0</v>
      </c>
      <c r="T56" s="74">
        <f>IF(E56=Dict!$A$2,IFERROR(SUM(AI56:AN56),"Ошибка: не заполнен параметр в п.4.1"),0)</f>
        <v>0</v>
      </c>
      <c r="U56" s="43"/>
      <c r="W56" s="297">
        <f t="shared" si="28"/>
        <v>0</v>
      </c>
      <c r="X56" s="297">
        <f t="shared" si="28"/>
        <v>0</v>
      </c>
      <c r="Y56" s="297">
        <f t="shared" si="28"/>
        <v>0</v>
      </c>
      <c r="Z56" s="297">
        <f t="shared" si="28"/>
        <v>0</v>
      </c>
      <c r="AA56" s="297">
        <f t="shared" si="28"/>
        <v>0</v>
      </c>
      <c r="AB56" s="297">
        <f t="shared" si="28"/>
        <v>0</v>
      </c>
      <c r="AC56" s="297">
        <f t="shared" si="29"/>
        <v>0</v>
      </c>
      <c r="AD56" s="297">
        <f t="shared" si="29"/>
        <v>0</v>
      </c>
      <c r="AE56" s="297">
        <f t="shared" si="29"/>
        <v>0</v>
      </c>
      <c r="AF56" s="297">
        <f t="shared" si="29"/>
        <v>0</v>
      </c>
      <c r="AG56" s="297">
        <f t="shared" si="29"/>
        <v>0</v>
      </c>
      <c r="AH56" s="297">
        <f t="shared" si="29"/>
        <v>0</v>
      </c>
      <c r="AI56" s="297">
        <f>$Y$21*'Шаг 1. Основные исходные данные'!$E$9/100*$H56*J56</f>
        <v>0</v>
      </c>
      <c r="AJ56" s="297">
        <f>$Y$21*'Шаг 1. Основные исходные данные'!$E$9/100*$H56*K56</f>
        <v>0</v>
      </c>
      <c r="AK56" s="297">
        <f>$Y$21*'Шаг 1. Основные исходные данные'!$E$9/100*$H56*L56</f>
        <v>0</v>
      </c>
      <c r="AL56" s="297">
        <f>$Y$21*'Шаг 1. Основные исходные данные'!$E$9/100*$H56*M56</f>
        <v>0</v>
      </c>
      <c r="AM56" s="297">
        <f>$Y$21*'Шаг 1. Основные исходные данные'!$E$9/100*$H56*N56</f>
        <v>0</v>
      </c>
      <c r="AN56" s="297">
        <f>$Y$21*'Шаг 1. Основные исходные данные'!$E$9/100*$H56*O56</f>
        <v>0</v>
      </c>
    </row>
    <row r="57" spans="1:40" x14ac:dyDescent="0.25">
      <c r="A57" s="43"/>
      <c r="B57" s="43"/>
      <c r="C57" s="88" t="str">
        <f>IF(LEN(D57)&gt;0,C56+1,"")</f>
        <v/>
      </c>
      <c r="D57" s="75" t="str">
        <f>IF(AND(LEN($D$21)&gt;1,LEN($D$9)&gt;1),$D$9,"")</f>
        <v/>
      </c>
      <c r="E57" s="70"/>
      <c r="F57" s="44"/>
      <c r="G57" s="63"/>
      <c r="H57" s="69"/>
      <c r="I57" s="44"/>
      <c r="J57" s="96"/>
      <c r="K57" s="44"/>
      <c r="L57" s="44"/>
      <c r="M57" s="44"/>
      <c r="N57" s="44"/>
      <c r="O57" s="44"/>
      <c r="P57" s="44"/>
      <c r="Q57" s="73">
        <f>IF(F57=Dict!$A$2,IF($J$19=0,"Ошибка: не заполнен параметр в п.4.1",SUM(W57:AB57)),0)</f>
        <v>0</v>
      </c>
      <c r="R57" s="74">
        <f>IF(G57=Dict!$A$2,IF($M$19=0,"Ошибка: не заполнен параметр в п.4.1",SUM(AC57:AH57)),0)</f>
        <v>0</v>
      </c>
      <c r="S57" s="72">
        <f>IFERROR(HLOOKUP("Ошибка: не заполнен параметр в п.4.1",Q57:R57,1,0),SUM(Q57:R57))</f>
        <v>0</v>
      </c>
      <c r="T57" s="74">
        <f>IF(E57=Dict!$A$2,IFERROR(SUM(AI57:AN57),"Ошибка: не заполнен параметр в п.4.1"),0)</f>
        <v>0</v>
      </c>
      <c r="U57" s="43"/>
      <c r="W57" s="297">
        <f t="shared" si="28"/>
        <v>0</v>
      </c>
      <c r="X57" s="297">
        <f t="shared" si="28"/>
        <v>0</v>
      </c>
      <c r="Y57" s="297">
        <f t="shared" si="28"/>
        <v>0</v>
      </c>
      <c r="Z57" s="297">
        <f t="shared" si="28"/>
        <v>0</v>
      </c>
      <c r="AA57" s="297">
        <f t="shared" si="28"/>
        <v>0</v>
      </c>
      <c r="AB57" s="297">
        <f t="shared" si="28"/>
        <v>0</v>
      </c>
      <c r="AC57" s="297">
        <f t="shared" si="29"/>
        <v>0</v>
      </c>
      <c r="AD57" s="297">
        <f t="shared" si="29"/>
        <v>0</v>
      </c>
      <c r="AE57" s="297">
        <f t="shared" si="29"/>
        <v>0</v>
      </c>
      <c r="AF57" s="297">
        <f t="shared" si="29"/>
        <v>0</v>
      </c>
      <c r="AG57" s="297">
        <f t="shared" si="29"/>
        <v>0</v>
      </c>
      <c r="AH57" s="297">
        <f t="shared" si="29"/>
        <v>0</v>
      </c>
      <c r="AI57" s="297">
        <f>$Y$21*'Шаг 1. Основные исходные данные'!$E$9/100*$H57*J57</f>
        <v>0</v>
      </c>
      <c r="AJ57" s="297">
        <f>$Y$21*'Шаг 1. Основные исходные данные'!$E$9/100*$H57*K57</f>
        <v>0</v>
      </c>
      <c r="AK57" s="297">
        <f>$Y$21*'Шаг 1. Основные исходные данные'!$E$9/100*$H57*L57</f>
        <v>0</v>
      </c>
      <c r="AL57" s="297">
        <f>$Y$21*'Шаг 1. Основные исходные данные'!$E$9/100*$H57*M57</f>
        <v>0</v>
      </c>
      <c r="AM57" s="297">
        <f>$Y$21*'Шаг 1. Основные исходные данные'!$E$9/100*$H57*N57</f>
        <v>0</v>
      </c>
      <c r="AN57" s="297">
        <f>$Y$21*'Шаг 1. Основные исходные данные'!$E$9/100*$H57*O57</f>
        <v>0</v>
      </c>
    </row>
    <row r="58" spans="1:40" x14ac:dyDescent="0.25">
      <c r="A58" s="43"/>
      <c r="B58" s="43"/>
      <c r="C58" s="88" t="str">
        <f>IF(LEN(D58)&gt;0,C57+1,"")</f>
        <v/>
      </c>
      <c r="D58" s="75" t="str">
        <f>IF(AND(LEN($D$21)&gt;1,LEN($D$10)&gt;1),$D$10,"")</f>
        <v/>
      </c>
      <c r="E58" s="71"/>
      <c r="F58" s="65"/>
      <c r="G58" s="68"/>
      <c r="H58" s="69"/>
      <c r="I58" s="44"/>
      <c r="J58" s="96"/>
      <c r="K58" s="44"/>
      <c r="L58" s="44"/>
      <c r="M58" s="44"/>
      <c r="N58" s="44"/>
      <c r="O58" s="44"/>
      <c r="P58" s="44"/>
      <c r="Q58" s="73">
        <f>IF(F58=Dict!$A$2,IF($J$19=0,"Ошибка: не заполнен параметр в п.4.1",SUM(W58:AB58)),0)</f>
        <v>0</v>
      </c>
      <c r="R58" s="74">
        <f>IF(G58=Dict!$A$2,IF($M$19=0,"Ошибка: не заполнен параметр в п.4.1",SUM(AC58:AH58)),0)</f>
        <v>0</v>
      </c>
      <c r="S58" s="72">
        <f>IFERROR(HLOOKUP("Ошибка: не заполнен параметр в п.4.1",Q58:R58,1,0),SUM(Q58:R58))</f>
        <v>0</v>
      </c>
      <c r="T58" s="74">
        <f>IF(E58=Dict!$A$2,IFERROR(SUM(AI58:AN58),"Ошибка: не заполнен параметр в п.4.1"),0)</f>
        <v>0</v>
      </c>
      <c r="U58" s="43"/>
      <c r="W58" s="297">
        <f t="shared" si="28"/>
        <v>0</v>
      </c>
      <c r="X58" s="297">
        <f t="shared" si="28"/>
        <v>0</v>
      </c>
      <c r="Y58" s="297">
        <f t="shared" si="28"/>
        <v>0</v>
      </c>
      <c r="Z58" s="297">
        <f t="shared" si="28"/>
        <v>0</v>
      </c>
      <c r="AA58" s="297">
        <f t="shared" si="28"/>
        <v>0</v>
      </c>
      <c r="AB58" s="297">
        <f t="shared" si="28"/>
        <v>0</v>
      </c>
      <c r="AC58" s="297">
        <f t="shared" si="29"/>
        <v>0</v>
      </c>
      <c r="AD58" s="297">
        <f t="shared" si="29"/>
        <v>0</v>
      </c>
      <c r="AE58" s="297">
        <f t="shared" si="29"/>
        <v>0</v>
      </c>
      <c r="AF58" s="297">
        <f t="shared" si="29"/>
        <v>0</v>
      </c>
      <c r="AG58" s="297">
        <f t="shared" si="29"/>
        <v>0</v>
      </c>
      <c r="AH58" s="297">
        <f t="shared" si="29"/>
        <v>0</v>
      </c>
      <c r="AI58" s="297">
        <f>$Y$21*'Шаг 1. Основные исходные данные'!$E$9/100*$H58*J58</f>
        <v>0</v>
      </c>
      <c r="AJ58" s="297">
        <f>$Y$21*'Шаг 1. Основные исходные данные'!$E$9/100*$H58*K58</f>
        <v>0</v>
      </c>
      <c r="AK58" s="297">
        <f>$Y$21*'Шаг 1. Основные исходные данные'!$E$9/100*$H58*L58</f>
        <v>0</v>
      </c>
      <c r="AL58" s="297">
        <f>$Y$21*'Шаг 1. Основные исходные данные'!$E$9/100*$H58*M58</f>
        <v>0</v>
      </c>
      <c r="AM58" s="297">
        <f>$Y$21*'Шаг 1. Основные исходные данные'!$E$9/100*$H58*N58</f>
        <v>0</v>
      </c>
      <c r="AN58" s="297">
        <f>$Y$21*'Шаг 1. Основные исходные данные'!$E$9/100*$H58*O58</f>
        <v>0</v>
      </c>
    </row>
    <row r="59" spans="1:40" ht="19.899999999999999" customHeight="1" x14ac:dyDescent="0.25">
      <c r="A59" s="43"/>
      <c r="B59" s="43"/>
      <c r="C59" s="35" t="s">
        <v>95</v>
      </c>
      <c r="D59" s="35"/>
      <c r="E59" s="35"/>
      <c r="F59" s="35"/>
      <c r="G59" s="35"/>
      <c r="H59" s="35"/>
      <c r="I59" s="35"/>
      <c r="J59" s="35"/>
      <c r="K59" s="35"/>
      <c r="L59" s="35"/>
      <c r="M59" s="35"/>
      <c r="N59" s="35"/>
      <c r="O59" s="35"/>
      <c r="P59" s="35"/>
      <c r="Q59" s="57">
        <f t="shared" ref="Q59:T59" si="30">IFERROR(VLOOKUP("Ошибка: не заполнен параметр в п.4.1",Q54:Q58,1,0),SUM(Q54:Q58))</f>
        <v>0</v>
      </c>
      <c r="R59" s="57">
        <f t="shared" si="30"/>
        <v>0</v>
      </c>
      <c r="S59" s="57">
        <f t="shared" si="30"/>
        <v>0</v>
      </c>
      <c r="T59" s="57">
        <f t="shared" si="30"/>
        <v>0</v>
      </c>
      <c r="U59" s="43"/>
      <c r="W59" s="298">
        <f>SUM(W54:W58)</f>
        <v>0</v>
      </c>
      <c r="X59" s="298">
        <f t="shared" ref="X59" si="31">SUM(X54:X58)</f>
        <v>0</v>
      </c>
      <c r="Y59" s="298">
        <f t="shared" ref="Y59" si="32">SUM(Y54:Y58)</f>
        <v>0</v>
      </c>
      <c r="Z59" s="298">
        <f t="shared" ref="Z59" si="33">SUM(Z54:Z58)</f>
        <v>0</v>
      </c>
      <c r="AA59" s="298">
        <f t="shared" ref="AA59" si="34">SUM(AA54:AA58)</f>
        <v>0</v>
      </c>
      <c r="AB59" s="298">
        <f t="shared" ref="AB59" si="35">SUM(AB54:AB58)</f>
        <v>0</v>
      </c>
      <c r="AC59" s="299">
        <f>SUM(AC54:AC58)</f>
        <v>0</v>
      </c>
      <c r="AD59" s="299">
        <f t="shared" ref="AD59" si="36">SUM(AD54:AD58)</f>
        <v>0</v>
      </c>
      <c r="AE59" s="299">
        <f t="shared" ref="AE59" si="37">SUM(AE54:AE58)</f>
        <v>0</v>
      </c>
      <c r="AF59" s="299">
        <f t="shared" ref="AF59" si="38">SUM(AF54:AF58)</f>
        <v>0</v>
      </c>
      <c r="AG59" s="299">
        <f t="shared" ref="AG59" si="39">SUM(AG54:AG58)</f>
        <v>0</v>
      </c>
      <c r="AH59" s="299">
        <f t="shared" ref="AH59" si="40">SUM(AH54:AH58)</f>
        <v>0</v>
      </c>
      <c r="AI59" s="299">
        <f>SUM(AI54:AI58)</f>
        <v>0</v>
      </c>
      <c r="AJ59" s="299">
        <f t="shared" ref="AJ59" si="41">SUM(AJ54:AJ58)</f>
        <v>0</v>
      </c>
      <c r="AK59" s="299">
        <f t="shared" ref="AK59" si="42">SUM(AK54:AK58)</f>
        <v>0</v>
      </c>
      <c r="AL59" s="299">
        <f t="shared" ref="AL59" si="43">SUM(AL54:AL58)</f>
        <v>0</v>
      </c>
      <c r="AM59" s="299">
        <f t="shared" ref="AM59" si="44">SUM(AM54:AM58)</f>
        <v>0</v>
      </c>
      <c r="AN59" s="299">
        <f t="shared" ref="AN59" si="45">SUM(AN54:AN58)</f>
        <v>0</v>
      </c>
    </row>
    <row r="60" spans="1:40" x14ac:dyDescent="0.25">
      <c r="A60" s="43"/>
      <c r="B60" s="43"/>
      <c r="C60" s="43"/>
      <c r="D60" s="43"/>
      <c r="E60" s="43"/>
      <c r="F60" s="43"/>
      <c r="G60" s="43"/>
      <c r="H60" s="43"/>
      <c r="I60" s="43"/>
      <c r="J60" s="43"/>
      <c r="K60" s="43"/>
      <c r="L60" s="43"/>
      <c r="M60" s="43"/>
      <c r="N60" s="43"/>
      <c r="O60" s="43"/>
      <c r="P60" s="43"/>
      <c r="Q60" s="43"/>
      <c r="R60" s="43"/>
      <c r="S60" s="43"/>
      <c r="T60" s="43"/>
      <c r="U60" s="43"/>
      <c r="W60" s="300"/>
      <c r="X60" s="300"/>
      <c r="Y60" s="300"/>
      <c r="Z60" s="300"/>
      <c r="AA60" s="300"/>
      <c r="AB60" s="300"/>
      <c r="AC60" s="301"/>
      <c r="AD60" s="301"/>
      <c r="AE60" s="301"/>
      <c r="AF60" s="301"/>
      <c r="AG60" s="301"/>
      <c r="AH60" s="301"/>
      <c r="AI60" s="301"/>
      <c r="AJ60" s="301"/>
      <c r="AK60" s="301"/>
      <c r="AL60" s="301"/>
      <c r="AM60" s="301"/>
      <c r="AN60" s="301"/>
    </row>
    <row r="61" spans="1:40" x14ac:dyDescent="0.25">
      <c r="A61" s="43"/>
      <c r="B61" s="43"/>
      <c r="C61" s="43"/>
      <c r="D61" s="43"/>
      <c r="E61" s="43"/>
      <c r="F61" s="43"/>
      <c r="G61" s="43"/>
      <c r="H61" s="43"/>
      <c r="I61" s="43"/>
      <c r="J61" s="43"/>
      <c r="K61" s="43"/>
      <c r="L61" s="43"/>
      <c r="M61" s="43"/>
      <c r="N61" s="43"/>
      <c r="O61" s="43"/>
      <c r="P61" s="43"/>
      <c r="Q61" s="43"/>
      <c r="R61" s="43"/>
      <c r="S61" s="43"/>
      <c r="T61" s="43"/>
      <c r="U61" s="43"/>
      <c r="W61" s="302"/>
      <c r="X61" s="302"/>
      <c r="Y61" s="302"/>
      <c r="Z61" s="302"/>
      <c r="AA61" s="302"/>
      <c r="AB61" s="302"/>
      <c r="AC61" s="301"/>
      <c r="AD61" s="301"/>
      <c r="AE61" s="301"/>
      <c r="AF61" s="301"/>
      <c r="AG61" s="301"/>
      <c r="AH61" s="301"/>
      <c r="AI61" s="301"/>
      <c r="AJ61" s="301"/>
      <c r="AK61" s="301"/>
      <c r="AL61" s="301"/>
      <c r="AM61" s="301"/>
      <c r="AN61" s="301"/>
    </row>
    <row r="62" spans="1:40" x14ac:dyDescent="0.25">
      <c r="A62" s="43"/>
      <c r="B62" s="43"/>
      <c r="C62" s="36" t="str">
        <f>CONCATENATE("4.2.",$C$22,". Издержки простоя группы объектов ",$C$22," - """,$D$22,"""")</f>
        <v>4.2.. Издержки простоя группы объектов  - ""</v>
      </c>
      <c r="D62" s="43"/>
      <c r="E62" s="43"/>
      <c r="F62" s="43"/>
      <c r="G62" s="43"/>
      <c r="H62" s="43"/>
      <c r="I62" s="43"/>
      <c r="J62" s="43"/>
      <c r="K62" s="43"/>
      <c r="L62" s="43"/>
      <c r="M62" s="43"/>
      <c r="N62" s="43"/>
      <c r="O62" s="43"/>
      <c r="P62" s="43"/>
      <c r="Q62" s="43"/>
      <c r="R62" s="43"/>
      <c r="S62" s="43"/>
      <c r="T62" s="43"/>
      <c r="U62" s="43"/>
      <c r="W62" s="302"/>
      <c r="X62" s="302"/>
      <c r="Y62" s="302"/>
      <c r="Z62" s="302"/>
      <c r="AA62" s="302"/>
      <c r="AB62" s="302"/>
      <c r="AC62" s="301"/>
      <c r="AD62" s="301"/>
      <c r="AE62" s="301"/>
      <c r="AF62" s="301"/>
      <c r="AG62" s="301"/>
      <c r="AH62" s="301"/>
      <c r="AI62" s="301"/>
      <c r="AJ62" s="301"/>
      <c r="AK62" s="301"/>
      <c r="AL62" s="301"/>
      <c r="AM62" s="301"/>
      <c r="AN62" s="301"/>
    </row>
    <row r="63" spans="1:40" x14ac:dyDescent="0.25">
      <c r="A63" s="43"/>
      <c r="B63" s="43"/>
      <c r="C63" s="43"/>
      <c r="D63" s="43"/>
      <c r="E63" s="43"/>
      <c r="F63" s="43"/>
      <c r="G63" s="43"/>
      <c r="H63" s="43"/>
      <c r="I63" s="43"/>
      <c r="J63" s="43"/>
      <c r="K63" s="43"/>
      <c r="L63" s="43"/>
      <c r="M63" s="43"/>
      <c r="N63" s="43"/>
      <c r="O63" s="43"/>
      <c r="P63" s="43"/>
      <c r="Q63" s="43"/>
      <c r="R63" s="43"/>
      <c r="S63" s="43"/>
      <c r="T63" s="43"/>
      <c r="U63" s="43"/>
      <c r="W63" s="302"/>
      <c r="X63" s="302"/>
      <c r="Y63" s="302"/>
      <c r="Z63" s="302"/>
      <c r="AA63" s="302"/>
      <c r="AB63" s="302"/>
      <c r="AC63" s="303"/>
      <c r="AD63" s="301"/>
      <c r="AE63" s="301"/>
      <c r="AF63" s="301"/>
      <c r="AG63" s="301"/>
      <c r="AH63" s="301"/>
      <c r="AI63" s="303"/>
      <c r="AJ63" s="301"/>
      <c r="AK63" s="301"/>
      <c r="AL63" s="301"/>
      <c r="AM63" s="301"/>
      <c r="AN63" s="301"/>
    </row>
    <row r="64" spans="1:40" ht="19.899999999999999" customHeight="1" x14ac:dyDescent="0.25">
      <c r="A64" s="43"/>
      <c r="B64" s="43"/>
      <c r="C64" s="326" t="s">
        <v>62</v>
      </c>
      <c r="D64" s="326" t="s">
        <v>94</v>
      </c>
      <c r="E64" s="348" t="s">
        <v>1176</v>
      </c>
      <c r="F64" s="349"/>
      <c r="G64" s="350"/>
      <c r="H64" s="351" t="s">
        <v>1239</v>
      </c>
      <c r="I64" s="326" t="s">
        <v>1305</v>
      </c>
      <c r="J64" s="326" t="s">
        <v>1240</v>
      </c>
      <c r="K64" s="326"/>
      <c r="L64" s="326"/>
      <c r="M64" s="326"/>
      <c r="N64" s="326"/>
      <c r="O64" s="326"/>
      <c r="P64" s="326" t="s">
        <v>1306</v>
      </c>
      <c r="Q64" s="286" t="s">
        <v>1236</v>
      </c>
      <c r="R64" s="287"/>
      <c r="S64" s="351" t="s">
        <v>1241</v>
      </c>
      <c r="T64" s="326" t="s">
        <v>1271</v>
      </c>
      <c r="U64" s="43"/>
      <c r="W64" s="303" t="s">
        <v>1246</v>
      </c>
      <c r="X64" s="302"/>
      <c r="Y64" s="302"/>
      <c r="Z64" s="302"/>
      <c r="AA64" s="302"/>
      <c r="AB64" s="302"/>
      <c r="AC64" s="303" t="s">
        <v>1247</v>
      </c>
      <c r="AD64" s="301"/>
      <c r="AE64" s="301"/>
      <c r="AF64" s="301"/>
      <c r="AG64" s="301"/>
      <c r="AH64" s="301"/>
      <c r="AI64" s="303" t="s">
        <v>1248</v>
      </c>
      <c r="AJ64" s="301"/>
      <c r="AK64" s="301"/>
      <c r="AL64" s="301"/>
      <c r="AM64" s="301"/>
      <c r="AN64" s="301"/>
    </row>
    <row r="65" spans="1:40" s="61" customFormat="1" ht="94.5" x14ac:dyDescent="0.25">
      <c r="A65" s="60"/>
      <c r="B65" s="60"/>
      <c r="C65" s="326"/>
      <c r="D65" s="326"/>
      <c r="E65" s="288" t="s">
        <v>109</v>
      </c>
      <c r="F65" s="289" t="s">
        <v>1243</v>
      </c>
      <c r="G65" s="290" t="s">
        <v>1244</v>
      </c>
      <c r="H65" s="352"/>
      <c r="I65" s="326"/>
      <c r="J65" s="125" t="str">
        <f>IF(1&lt;='Шаг 1. Основные исходные данные'!$E$5,"1 год","-")</f>
        <v>1 год</v>
      </c>
      <c r="K65" s="125" t="str">
        <f>IF(2&lt;='Шаг 1. Основные исходные данные'!$E$5,"2 год","-")</f>
        <v>2 год</v>
      </c>
      <c r="L65" s="125" t="str">
        <f>IF(3&lt;='Шаг 1. Основные исходные данные'!$E$5,"3 год","-")</f>
        <v>3 год</v>
      </c>
      <c r="M65" s="125" t="str">
        <f>IF(4&lt;='Шаг 1. Основные исходные данные'!$E$5,"4 год","-")</f>
        <v>4 год</v>
      </c>
      <c r="N65" s="125" t="str">
        <f>IF(5&lt;='Шаг 1. Основные исходные данные'!$E$5,"5 год","-")</f>
        <v>5 год</v>
      </c>
      <c r="O65" s="125" t="str">
        <f>IF(6&lt;='Шаг 1. Основные исходные данные'!$E$5,"6 год","-")</f>
        <v>6 год</v>
      </c>
      <c r="P65" s="326"/>
      <c r="Q65" s="79" t="s">
        <v>92</v>
      </c>
      <c r="R65" s="78" t="s">
        <v>93</v>
      </c>
      <c r="S65" s="352"/>
      <c r="T65" s="327"/>
      <c r="U65" s="43"/>
      <c r="W65" s="304" t="s">
        <v>1221</v>
      </c>
      <c r="X65" s="304" t="s">
        <v>1223</v>
      </c>
      <c r="Y65" s="304" t="s">
        <v>1224</v>
      </c>
      <c r="Z65" s="304" t="s">
        <v>1225</v>
      </c>
      <c r="AA65" s="304" t="s">
        <v>1226</v>
      </c>
      <c r="AB65" s="304" t="s">
        <v>1227</v>
      </c>
      <c r="AC65" s="304" t="s">
        <v>1221</v>
      </c>
      <c r="AD65" s="304" t="s">
        <v>1223</v>
      </c>
      <c r="AE65" s="304" t="s">
        <v>1224</v>
      </c>
      <c r="AF65" s="304" t="s">
        <v>1225</v>
      </c>
      <c r="AG65" s="304" t="s">
        <v>1226</v>
      </c>
      <c r="AH65" s="304" t="s">
        <v>1227</v>
      </c>
      <c r="AI65" s="304" t="s">
        <v>1221</v>
      </c>
      <c r="AJ65" s="304" t="s">
        <v>1223</v>
      </c>
      <c r="AK65" s="304" t="s">
        <v>1224</v>
      </c>
      <c r="AL65" s="304" t="s">
        <v>1225</v>
      </c>
      <c r="AM65" s="304" t="s">
        <v>1226</v>
      </c>
      <c r="AN65" s="304" t="s">
        <v>1227</v>
      </c>
    </row>
    <row r="66" spans="1:40" x14ac:dyDescent="0.25">
      <c r="A66" s="43"/>
      <c r="B66" s="43"/>
      <c r="C66" s="88" t="str">
        <f>IF(LEN(D66)&gt;0,1,"")</f>
        <v/>
      </c>
      <c r="D66" s="75" t="str">
        <f>IF(AND(LEN($D$22)&gt;1,LEN($D$6)&gt;1),$D$6,"")</f>
        <v/>
      </c>
      <c r="E66" s="70"/>
      <c r="F66" s="44"/>
      <c r="G66" s="63"/>
      <c r="H66" s="69"/>
      <c r="I66" s="44"/>
      <c r="J66" s="96"/>
      <c r="K66" s="44"/>
      <c r="L66" s="44"/>
      <c r="M66" s="44"/>
      <c r="N66" s="44"/>
      <c r="O66" s="44"/>
      <c r="P66" s="44"/>
      <c r="Q66" s="73">
        <f>IF(F66=Dict!$A$2,IF($J$19=0,"Ошибка: не заполнен параметр в п.4.1",SUM(W66:AB66)),0)</f>
        <v>0</v>
      </c>
      <c r="R66" s="74">
        <f>IF(G66=Dict!$A$2,IF($M$19=0,"Ошибка: не заполнен параметр в п.4.1",SUM(AC66:AH66)),0)</f>
        <v>0</v>
      </c>
      <c r="S66" s="72">
        <f>IFERROR(HLOOKUP("Ошибка: не заполнен параметр в п.4.1",Q66:R66,1,0),SUM(Q66:R66))</f>
        <v>0</v>
      </c>
      <c r="T66" s="74">
        <f>IF(E66=Dict!$A$2,IFERROR(SUM(AI66:AN66),"Ошибка: не заполнен параметр в п.4.1"),0)</f>
        <v>0</v>
      </c>
      <c r="U66" s="43"/>
      <c r="W66" s="297">
        <f t="shared" ref="W66:AB70" si="46">W$10*$W$22*$H66*J66</f>
        <v>0</v>
      </c>
      <c r="X66" s="297">
        <f t="shared" si="46"/>
        <v>0</v>
      </c>
      <c r="Y66" s="297">
        <f t="shared" si="46"/>
        <v>0</v>
      </c>
      <c r="Z66" s="297">
        <f t="shared" si="46"/>
        <v>0</v>
      </c>
      <c r="AA66" s="297">
        <f t="shared" si="46"/>
        <v>0</v>
      </c>
      <c r="AB66" s="297">
        <f t="shared" si="46"/>
        <v>0</v>
      </c>
      <c r="AC66" s="297">
        <f t="shared" ref="AC66:AH70" si="47">W$9*$X$22*$H66*J66</f>
        <v>0</v>
      </c>
      <c r="AD66" s="297">
        <f t="shared" si="47"/>
        <v>0</v>
      </c>
      <c r="AE66" s="297">
        <f t="shared" si="47"/>
        <v>0</v>
      </c>
      <c r="AF66" s="297">
        <f t="shared" si="47"/>
        <v>0</v>
      </c>
      <c r="AG66" s="297">
        <f t="shared" si="47"/>
        <v>0</v>
      </c>
      <c r="AH66" s="297">
        <f t="shared" si="47"/>
        <v>0</v>
      </c>
      <c r="AI66" s="297">
        <f>$Y$22*'Шаг 1. Основные исходные данные'!$E$9/100*$H66*J66</f>
        <v>0</v>
      </c>
      <c r="AJ66" s="297">
        <f>$Y$22*'Шаг 1. Основные исходные данные'!$E$9/100*$H66*K66</f>
        <v>0</v>
      </c>
      <c r="AK66" s="297">
        <f>$Y$22*'Шаг 1. Основные исходные данные'!$E$9/100*$H66*L66</f>
        <v>0</v>
      </c>
      <c r="AL66" s="297">
        <f>$Y$22*'Шаг 1. Основные исходные данные'!$E$9/100*$H66*M66</f>
        <v>0</v>
      </c>
      <c r="AM66" s="297">
        <f>$Y$22*'Шаг 1. Основные исходные данные'!$E$9/100*$H66*N66</f>
        <v>0</v>
      </c>
      <c r="AN66" s="297">
        <f>$Y$22*'Шаг 1. Основные исходные данные'!$E$9/100*$H66*O66</f>
        <v>0</v>
      </c>
    </row>
    <row r="67" spans="1:40" x14ac:dyDescent="0.25">
      <c r="A67" s="43"/>
      <c r="B67" s="43"/>
      <c r="C67" s="88" t="str">
        <f>IF(LEN(D67)&gt;0,C66+1,"")</f>
        <v/>
      </c>
      <c r="D67" s="75" t="str">
        <f>IF(AND(LEN($D$22)&gt;1,LEN($D$7)&gt;1),$D$7,"")</f>
        <v/>
      </c>
      <c r="E67" s="70"/>
      <c r="F67" s="44"/>
      <c r="G67" s="63"/>
      <c r="H67" s="69"/>
      <c r="I67" s="44"/>
      <c r="J67" s="96"/>
      <c r="K67" s="44"/>
      <c r="L67" s="44"/>
      <c r="M67" s="44"/>
      <c r="N67" s="44"/>
      <c r="O67" s="44"/>
      <c r="P67" s="44"/>
      <c r="Q67" s="73">
        <f>IF(F67=Dict!$A$2,IF($J$19=0,"Ошибка: не заполнен параметр в п.4.1",SUM(W67:AB67)),0)</f>
        <v>0</v>
      </c>
      <c r="R67" s="74">
        <f>IF(G67=Dict!$A$2,IF($M$19=0,"Ошибка: не заполнен параметр в п.4.1",SUM(AC67:AH67)),0)</f>
        <v>0</v>
      </c>
      <c r="S67" s="72">
        <f>IFERROR(HLOOKUP("Ошибка: не заполнен параметр в п.4.1",Q67:R67,1,0),SUM(Q67:R67))</f>
        <v>0</v>
      </c>
      <c r="T67" s="74">
        <f>IF(E67=Dict!$A$2,IFERROR(SUM(AI67:AN67),"Ошибка: не заполнен параметр в п.4.1"),0)</f>
        <v>0</v>
      </c>
      <c r="U67" s="43"/>
      <c r="W67" s="297">
        <f t="shared" si="46"/>
        <v>0</v>
      </c>
      <c r="X67" s="297">
        <f t="shared" si="46"/>
        <v>0</v>
      </c>
      <c r="Y67" s="297">
        <f t="shared" si="46"/>
        <v>0</v>
      </c>
      <c r="Z67" s="297">
        <f t="shared" si="46"/>
        <v>0</v>
      </c>
      <c r="AA67" s="297">
        <f t="shared" si="46"/>
        <v>0</v>
      </c>
      <c r="AB67" s="297">
        <f t="shared" si="46"/>
        <v>0</v>
      </c>
      <c r="AC67" s="297">
        <f t="shared" si="47"/>
        <v>0</v>
      </c>
      <c r="AD67" s="297">
        <f t="shared" si="47"/>
        <v>0</v>
      </c>
      <c r="AE67" s="297">
        <f t="shared" si="47"/>
        <v>0</v>
      </c>
      <c r="AF67" s="297">
        <f t="shared" si="47"/>
        <v>0</v>
      </c>
      <c r="AG67" s="297">
        <f t="shared" si="47"/>
        <v>0</v>
      </c>
      <c r="AH67" s="297">
        <f t="shared" si="47"/>
        <v>0</v>
      </c>
      <c r="AI67" s="297">
        <f>$Y$22*'Шаг 1. Основные исходные данные'!$E$9/100*$H67*J67</f>
        <v>0</v>
      </c>
      <c r="AJ67" s="297">
        <f>$Y$22*'Шаг 1. Основные исходные данные'!$E$9/100*$H67*K67</f>
        <v>0</v>
      </c>
      <c r="AK67" s="297">
        <f>$Y$22*'Шаг 1. Основные исходные данные'!$E$9/100*$H67*L67</f>
        <v>0</v>
      </c>
      <c r="AL67" s="297">
        <f>$Y$22*'Шаг 1. Основные исходные данные'!$E$9/100*$H67*M67</f>
        <v>0</v>
      </c>
      <c r="AM67" s="297">
        <f>$Y$22*'Шаг 1. Основные исходные данные'!$E$9/100*$H67*N67</f>
        <v>0</v>
      </c>
      <c r="AN67" s="297">
        <f>$Y$22*'Шаг 1. Основные исходные данные'!$E$9/100*$H67*O67</f>
        <v>0</v>
      </c>
    </row>
    <row r="68" spans="1:40" x14ac:dyDescent="0.25">
      <c r="A68" s="43"/>
      <c r="B68" s="43"/>
      <c r="C68" s="88" t="str">
        <f>IF(LEN(D68)&gt;0,C67+1,"")</f>
        <v/>
      </c>
      <c r="D68" s="75" t="str">
        <f>IF(AND(LEN($D$22)&gt;1,LEN($D$8)&gt;1),$D$8,"")</f>
        <v/>
      </c>
      <c r="E68" s="70"/>
      <c r="F68" s="44"/>
      <c r="G68" s="63"/>
      <c r="H68" s="69"/>
      <c r="I68" s="44"/>
      <c r="J68" s="96"/>
      <c r="K68" s="44"/>
      <c r="L68" s="44"/>
      <c r="M68" s="44"/>
      <c r="N68" s="44"/>
      <c r="O68" s="44"/>
      <c r="P68" s="44"/>
      <c r="Q68" s="73">
        <f>IF(F68=Dict!$A$2,IF($J$19=0,"Ошибка: не заполнен параметр в п.4.1",SUM(W68:AB68)),0)</f>
        <v>0</v>
      </c>
      <c r="R68" s="74">
        <f>IF(G68=Dict!$A$2,IF($M$19=0,"Ошибка: не заполнен параметр в п.4.1",SUM(AC68:AH68)),0)</f>
        <v>0</v>
      </c>
      <c r="S68" s="72">
        <f>IFERROR(HLOOKUP("Ошибка: не заполнен параметр в п.4.1",Q68:R68,1,0),SUM(Q68:R68))</f>
        <v>0</v>
      </c>
      <c r="T68" s="74">
        <f>IF(E68=Dict!$A$2,IFERROR(SUM(AI68:AN68),"Ошибка: не заполнен параметр в п.4.1"),0)</f>
        <v>0</v>
      </c>
      <c r="U68" s="43"/>
      <c r="W68" s="297">
        <f t="shared" si="46"/>
        <v>0</v>
      </c>
      <c r="X68" s="297">
        <f t="shared" si="46"/>
        <v>0</v>
      </c>
      <c r="Y68" s="297">
        <f t="shared" si="46"/>
        <v>0</v>
      </c>
      <c r="Z68" s="297">
        <f t="shared" si="46"/>
        <v>0</v>
      </c>
      <c r="AA68" s="297">
        <f t="shared" si="46"/>
        <v>0</v>
      </c>
      <c r="AB68" s="297">
        <f t="shared" si="46"/>
        <v>0</v>
      </c>
      <c r="AC68" s="297">
        <f t="shared" si="47"/>
        <v>0</v>
      </c>
      <c r="AD68" s="297">
        <f t="shared" si="47"/>
        <v>0</v>
      </c>
      <c r="AE68" s="297">
        <f t="shared" si="47"/>
        <v>0</v>
      </c>
      <c r="AF68" s="297">
        <f t="shared" si="47"/>
        <v>0</v>
      </c>
      <c r="AG68" s="297">
        <f t="shared" si="47"/>
        <v>0</v>
      </c>
      <c r="AH68" s="297">
        <f t="shared" si="47"/>
        <v>0</v>
      </c>
      <c r="AI68" s="297">
        <f>$Y$22*'Шаг 1. Основные исходные данные'!$E$9/100*$H68*J68</f>
        <v>0</v>
      </c>
      <c r="AJ68" s="297">
        <f>$Y$22*'Шаг 1. Основные исходные данные'!$E$9/100*$H68*K68</f>
        <v>0</v>
      </c>
      <c r="AK68" s="297">
        <f>$Y$22*'Шаг 1. Основные исходные данные'!$E$9/100*$H68*L68</f>
        <v>0</v>
      </c>
      <c r="AL68" s="297">
        <f>$Y$22*'Шаг 1. Основные исходные данные'!$E$9/100*$H68*M68</f>
        <v>0</v>
      </c>
      <c r="AM68" s="297">
        <f>$Y$22*'Шаг 1. Основные исходные данные'!$E$9/100*$H68*N68</f>
        <v>0</v>
      </c>
      <c r="AN68" s="297">
        <f>$Y$22*'Шаг 1. Основные исходные данные'!$E$9/100*$H68*O68</f>
        <v>0</v>
      </c>
    </row>
    <row r="69" spans="1:40" x14ac:dyDescent="0.25">
      <c r="A69" s="43"/>
      <c r="B69" s="43"/>
      <c r="C69" s="88" t="str">
        <f>IF(LEN(D69)&gt;0,C68+1,"")</f>
        <v/>
      </c>
      <c r="D69" s="75" t="str">
        <f>IF(AND(LEN($D$22)&gt;1,LEN($D$9)&gt;1),$D$9,"")</f>
        <v/>
      </c>
      <c r="E69" s="70"/>
      <c r="F69" s="44"/>
      <c r="G69" s="63"/>
      <c r="H69" s="69"/>
      <c r="I69" s="44"/>
      <c r="J69" s="96"/>
      <c r="K69" s="44"/>
      <c r="L69" s="44"/>
      <c r="M69" s="44"/>
      <c r="N69" s="44"/>
      <c r="O69" s="44"/>
      <c r="P69" s="44"/>
      <c r="Q69" s="73">
        <f>IF(F69=Dict!$A$2,IF($J$19=0,"Ошибка: не заполнен параметр в п.4.1",SUM(W69:AB69)),0)</f>
        <v>0</v>
      </c>
      <c r="R69" s="74">
        <f>IF(G69=Dict!$A$2,IF($M$19=0,"Ошибка: не заполнен параметр в п.4.1",SUM(AC69:AH69)),0)</f>
        <v>0</v>
      </c>
      <c r="S69" s="72">
        <f>IFERROR(HLOOKUP("Ошибка: не заполнен параметр в п.4.1",Q69:R69,1,0),SUM(Q69:R69))</f>
        <v>0</v>
      </c>
      <c r="T69" s="74">
        <f>IF(E69=Dict!$A$2,IFERROR(SUM(AI69:AN69),"Ошибка: не заполнен параметр в п.4.1"),0)</f>
        <v>0</v>
      </c>
      <c r="U69" s="43"/>
      <c r="W69" s="297">
        <f t="shared" si="46"/>
        <v>0</v>
      </c>
      <c r="X69" s="297">
        <f t="shared" si="46"/>
        <v>0</v>
      </c>
      <c r="Y69" s="297">
        <f t="shared" si="46"/>
        <v>0</v>
      </c>
      <c r="Z69" s="297">
        <f t="shared" si="46"/>
        <v>0</v>
      </c>
      <c r="AA69" s="297">
        <f t="shared" si="46"/>
        <v>0</v>
      </c>
      <c r="AB69" s="297">
        <f t="shared" si="46"/>
        <v>0</v>
      </c>
      <c r="AC69" s="297">
        <f t="shared" si="47"/>
        <v>0</v>
      </c>
      <c r="AD69" s="297">
        <f t="shared" si="47"/>
        <v>0</v>
      </c>
      <c r="AE69" s="297">
        <f t="shared" si="47"/>
        <v>0</v>
      </c>
      <c r="AF69" s="297">
        <f t="shared" si="47"/>
        <v>0</v>
      </c>
      <c r="AG69" s="297">
        <f t="shared" si="47"/>
        <v>0</v>
      </c>
      <c r="AH69" s="297">
        <f t="shared" si="47"/>
        <v>0</v>
      </c>
      <c r="AI69" s="297">
        <f>$Y$22*'Шаг 1. Основные исходные данные'!$E$9/100*$H69*J69</f>
        <v>0</v>
      </c>
      <c r="AJ69" s="297">
        <f>$Y$22*'Шаг 1. Основные исходные данные'!$E$9/100*$H69*K69</f>
        <v>0</v>
      </c>
      <c r="AK69" s="297">
        <f>$Y$22*'Шаг 1. Основные исходные данные'!$E$9/100*$H69*L69</f>
        <v>0</v>
      </c>
      <c r="AL69" s="297">
        <f>$Y$22*'Шаг 1. Основные исходные данные'!$E$9/100*$H69*M69</f>
        <v>0</v>
      </c>
      <c r="AM69" s="297">
        <f>$Y$22*'Шаг 1. Основные исходные данные'!$E$9/100*$H69*N69</f>
        <v>0</v>
      </c>
      <c r="AN69" s="297">
        <f>$Y$22*'Шаг 1. Основные исходные данные'!$E$9/100*$H69*O69</f>
        <v>0</v>
      </c>
    </row>
    <row r="70" spans="1:40" x14ac:dyDescent="0.25">
      <c r="A70" s="43"/>
      <c r="B70" s="43"/>
      <c r="C70" s="88" t="str">
        <f>IF(LEN(D70)&gt;0,C69+1,"")</f>
        <v/>
      </c>
      <c r="D70" s="75" t="str">
        <f>IF(AND(LEN($D$22)&gt;1,LEN($D$10)&gt;1),$D$10,"")</f>
        <v/>
      </c>
      <c r="E70" s="71"/>
      <c r="F70" s="65"/>
      <c r="G70" s="68"/>
      <c r="H70" s="69"/>
      <c r="I70" s="44"/>
      <c r="J70" s="96"/>
      <c r="K70" s="44"/>
      <c r="L70" s="44"/>
      <c r="M70" s="44"/>
      <c r="N70" s="44"/>
      <c r="O70" s="44"/>
      <c r="P70" s="44"/>
      <c r="Q70" s="73">
        <f>IF(F70=Dict!$A$2,IF($J$19=0,"Ошибка: не заполнен параметр в п.4.1",SUM(W70:AB70)),0)</f>
        <v>0</v>
      </c>
      <c r="R70" s="74">
        <f>IF(G70=Dict!$A$2,IF($M$19=0,"Ошибка: не заполнен параметр в п.4.1",SUM(AC70:AH70)),0)</f>
        <v>0</v>
      </c>
      <c r="S70" s="72">
        <f>IFERROR(HLOOKUP("Ошибка: не заполнен параметр в п.4.1",Q70:R70,1,0),SUM(Q70:R70))</f>
        <v>0</v>
      </c>
      <c r="T70" s="74">
        <f>IF(E70=Dict!$A$2,IFERROR(SUM(AI70:AN70),"Ошибка: не заполнен параметр в п.4.1"),0)</f>
        <v>0</v>
      </c>
      <c r="U70" s="43"/>
      <c r="W70" s="297">
        <f t="shared" si="46"/>
        <v>0</v>
      </c>
      <c r="X70" s="297">
        <f t="shared" si="46"/>
        <v>0</v>
      </c>
      <c r="Y70" s="297">
        <f t="shared" si="46"/>
        <v>0</v>
      </c>
      <c r="Z70" s="297">
        <f t="shared" si="46"/>
        <v>0</v>
      </c>
      <c r="AA70" s="297">
        <f t="shared" si="46"/>
        <v>0</v>
      </c>
      <c r="AB70" s="297">
        <f t="shared" si="46"/>
        <v>0</v>
      </c>
      <c r="AC70" s="297">
        <f t="shared" si="47"/>
        <v>0</v>
      </c>
      <c r="AD70" s="297">
        <f t="shared" si="47"/>
        <v>0</v>
      </c>
      <c r="AE70" s="297">
        <f t="shared" si="47"/>
        <v>0</v>
      </c>
      <c r="AF70" s="297">
        <f t="shared" si="47"/>
        <v>0</v>
      </c>
      <c r="AG70" s="297">
        <f t="shared" si="47"/>
        <v>0</v>
      </c>
      <c r="AH70" s="297">
        <f t="shared" si="47"/>
        <v>0</v>
      </c>
      <c r="AI70" s="297">
        <f>$Y$22*'Шаг 1. Основные исходные данные'!$E$9/100*$H70*J70</f>
        <v>0</v>
      </c>
      <c r="AJ70" s="297">
        <f>$Y$22*'Шаг 1. Основные исходные данные'!$E$9/100*$H70*K70</f>
        <v>0</v>
      </c>
      <c r="AK70" s="297">
        <f>$Y$22*'Шаг 1. Основные исходные данные'!$E$9/100*$H70*L70</f>
        <v>0</v>
      </c>
      <c r="AL70" s="297">
        <f>$Y$22*'Шаг 1. Основные исходные данные'!$E$9/100*$H70*M70</f>
        <v>0</v>
      </c>
      <c r="AM70" s="297">
        <f>$Y$22*'Шаг 1. Основные исходные данные'!$E$9/100*$H70*N70</f>
        <v>0</v>
      </c>
      <c r="AN70" s="297">
        <f>$Y$22*'Шаг 1. Основные исходные данные'!$E$9/100*$H70*O70</f>
        <v>0</v>
      </c>
    </row>
    <row r="71" spans="1:40" ht="19.899999999999999" customHeight="1" x14ac:dyDescent="0.25">
      <c r="A71" s="43"/>
      <c r="B71" s="43"/>
      <c r="C71" s="35" t="s">
        <v>95</v>
      </c>
      <c r="D71" s="35"/>
      <c r="E71" s="35"/>
      <c r="F71" s="35"/>
      <c r="G71" s="35"/>
      <c r="H71" s="35"/>
      <c r="I71" s="35"/>
      <c r="J71" s="35"/>
      <c r="K71" s="35"/>
      <c r="L71" s="35"/>
      <c r="M71" s="35"/>
      <c r="N71" s="35"/>
      <c r="O71" s="35"/>
      <c r="P71" s="35"/>
      <c r="Q71" s="57">
        <f t="shared" ref="Q71:T71" si="48">IFERROR(VLOOKUP("Ошибка: не заполнен параметр в п.4.1",Q66:Q70,1,0),SUM(Q66:Q70))</f>
        <v>0</v>
      </c>
      <c r="R71" s="57">
        <f t="shared" si="48"/>
        <v>0</v>
      </c>
      <c r="S71" s="57">
        <f t="shared" si="48"/>
        <v>0</v>
      </c>
      <c r="T71" s="57">
        <f t="shared" si="48"/>
        <v>0</v>
      </c>
      <c r="U71" s="43"/>
      <c r="W71" s="298">
        <f>SUM(W66:W70)</f>
        <v>0</v>
      </c>
      <c r="X71" s="298">
        <f t="shared" ref="X71" si="49">SUM(X66:X70)</f>
        <v>0</v>
      </c>
      <c r="Y71" s="298">
        <f t="shared" ref="Y71" si="50">SUM(Y66:Y70)</f>
        <v>0</v>
      </c>
      <c r="Z71" s="298">
        <f t="shared" ref="Z71" si="51">SUM(Z66:Z70)</f>
        <v>0</v>
      </c>
      <c r="AA71" s="298">
        <f t="shared" ref="AA71" si="52">SUM(AA66:AA70)</f>
        <v>0</v>
      </c>
      <c r="AB71" s="298">
        <f t="shared" ref="AB71" si="53">SUM(AB66:AB70)</f>
        <v>0</v>
      </c>
      <c r="AC71" s="299">
        <f>SUM(AC66:AC70)</f>
        <v>0</v>
      </c>
      <c r="AD71" s="299">
        <f t="shared" ref="AD71" si="54">SUM(AD66:AD70)</f>
        <v>0</v>
      </c>
      <c r="AE71" s="299">
        <f t="shared" ref="AE71" si="55">SUM(AE66:AE70)</f>
        <v>0</v>
      </c>
      <c r="AF71" s="299">
        <f t="shared" ref="AF71" si="56">SUM(AF66:AF70)</f>
        <v>0</v>
      </c>
      <c r="AG71" s="299">
        <f t="shared" ref="AG71" si="57">SUM(AG66:AG70)</f>
        <v>0</v>
      </c>
      <c r="AH71" s="299">
        <f t="shared" ref="AH71" si="58">SUM(AH66:AH70)</f>
        <v>0</v>
      </c>
      <c r="AI71" s="299">
        <f>SUM(AI66:AI70)</f>
        <v>0</v>
      </c>
      <c r="AJ71" s="299">
        <f t="shared" ref="AJ71" si="59">SUM(AJ66:AJ70)</f>
        <v>0</v>
      </c>
      <c r="AK71" s="299">
        <f t="shared" ref="AK71" si="60">SUM(AK66:AK70)</f>
        <v>0</v>
      </c>
      <c r="AL71" s="299">
        <f t="shared" ref="AL71" si="61">SUM(AL66:AL70)</f>
        <v>0</v>
      </c>
      <c r="AM71" s="299">
        <f t="shared" ref="AM71" si="62">SUM(AM66:AM70)</f>
        <v>0</v>
      </c>
      <c r="AN71" s="299">
        <f t="shared" ref="AN71" si="63">SUM(AN66:AN70)</f>
        <v>0</v>
      </c>
    </row>
    <row r="72" spans="1:40" x14ac:dyDescent="0.25">
      <c r="A72" s="43"/>
      <c r="B72" s="43"/>
      <c r="C72" s="43"/>
      <c r="D72" s="43"/>
      <c r="E72" s="43"/>
      <c r="F72" s="43"/>
      <c r="G72" s="43"/>
      <c r="H72" s="43"/>
      <c r="I72" s="43"/>
      <c r="J72" s="43"/>
      <c r="K72" s="43"/>
      <c r="L72" s="43"/>
      <c r="M72" s="43"/>
      <c r="N72" s="43"/>
      <c r="O72" s="43"/>
      <c r="P72" s="43"/>
      <c r="Q72" s="43"/>
      <c r="R72" s="43"/>
      <c r="S72" s="43"/>
      <c r="T72" s="43"/>
      <c r="U72" s="43"/>
      <c r="W72" s="300"/>
      <c r="X72" s="300"/>
      <c r="Y72" s="300"/>
      <c r="Z72" s="300"/>
      <c r="AA72" s="300"/>
      <c r="AB72" s="300"/>
      <c r="AC72" s="301"/>
      <c r="AD72" s="301"/>
      <c r="AE72" s="301"/>
      <c r="AF72" s="301"/>
      <c r="AG72" s="301"/>
      <c r="AH72" s="301"/>
      <c r="AI72" s="301"/>
      <c r="AJ72" s="301"/>
      <c r="AK72" s="301"/>
      <c r="AL72" s="301"/>
      <c r="AM72" s="301"/>
      <c r="AN72" s="301"/>
    </row>
    <row r="73" spans="1:40" x14ac:dyDescent="0.25">
      <c r="A73" s="43"/>
      <c r="B73" s="43"/>
      <c r="C73" s="43"/>
      <c r="D73" s="43"/>
      <c r="E73" s="43"/>
      <c r="F73" s="43"/>
      <c r="G73" s="43"/>
      <c r="H73" s="43"/>
      <c r="I73" s="43"/>
      <c r="J73" s="43"/>
      <c r="K73" s="43"/>
      <c r="L73" s="43"/>
      <c r="M73" s="43"/>
      <c r="N73" s="43"/>
      <c r="O73" s="43"/>
      <c r="P73" s="43"/>
      <c r="Q73" s="43"/>
      <c r="R73" s="43"/>
      <c r="S73" s="43"/>
      <c r="T73" s="43"/>
      <c r="U73" s="43"/>
      <c r="W73" s="302"/>
      <c r="X73" s="302"/>
      <c r="Y73" s="302"/>
      <c r="Z73" s="302"/>
      <c r="AA73" s="302"/>
      <c r="AB73" s="302"/>
      <c r="AC73" s="301"/>
      <c r="AD73" s="301"/>
      <c r="AE73" s="301"/>
      <c r="AF73" s="301"/>
      <c r="AG73" s="301"/>
      <c r="AH73" s="301"/>
      <c r="AI73" s="301"/>
      <c r="AJ73" s="301"/>
      <c r="AK73" s="301"/>
      <c r="AL73" s="301"/>
      <c r="AM73" s="301"/>
      <c r="AN73" s="301"/>
    </row>
    <row r="74" spans="1:40" x14ac:dyDescent="0.25">
      <c r="A74" s="43"/>
      <c r="B74" s="43"/>
      <c r="C74" s="36" t="str">
        <f>CONCATENATE("4.2.",$C$23,". Издержки простоя группы объектов ",$C$23," - """,$D$23,"""")</f>
        <v>4.2.. Издержки простоя группы объектов  - ""</v>
      </c>
      <c r="D74" s="43"/>
      <c r="E74" s="43"/>
      <c r="F74" s="43"/>
      <c r="G74" s="43"/>
      <c r="H74" s="43"/>
      <c r="I74" s="43"/>
      <c r="J74" s="43"/>
      <c r="K74" s="43"/>
      <c r="L74" s="43"/>
      <c r="M74" s="43"/>
      <c r="N74" s="43"/>
      <c r="O74" s="43"/>
      <c r="P74" s="43"/>
      <c r="Q74" s="43"/>
      <c r="R74" s="43"/>
      <c r="S74" s="43"/>
      <c r="T74" s="43"/>
      <c r="U74" s="43"/>
      <c r="W74" s="302"/>
      <c r="X74" s="302"/>
      <c r="Y74" s="302"/>
      <c r="Z74" s="302"/>
      <c r="AA74" s="302"/>
      <c r="AB74" s="302"/>
      <c r="AC74" s="301"/>
      <c r="AD74" s="301"/>
      <c r="AE74" s="301"/>
      <c r="AF74" s="301"/>
      <c r="AG74" s="301"/>
      <c r="AH74" s="301"/>
      <c r="AI74" s="301"/>
      <c r="AJ74" s="301"/>
      <c r="AK74" s="301"/>
      <c r="AL74" s="301"/>
      <c r="AM74" s="301"/>
      <c r="AN74" s="301"/>
    </row>
    <row r="75" spans="1:40" x14ac:dyDescent="0.25">
      <c r="A75" s="43"/>
      <c r="B75" s="43"/>
      <c r="C75" s="43"/>
      <c r="D75" s="43"/>
      <c r="E75" s="43"/>
      <c r="F75" s="43"/>
      <c r="G75" s="43"/>
      <c r="H75" s="43"/>
      <c r="I75" s="43"/>
      <c r="J75" s="43"/>
      <c r="K75" s="43"/>
      <c r="L75" s="43"/>
      <c r="M75" s="43"/>
      <c r="N75" s="43"/>
      <c r="O75" s="43"/>
      <c r="P75" s="43"/>
      <c r="Q75" s="43"/>
      <c r="R75" s="43"/>
      <c r="S75" s="43"/>
      <c r="T75" s="43"/>
      <c r="U75" s="43"/>
      <c r="W75" s="302"/>
      <c r="X75" s="302"/>
      <c r="Y75" s="302"/>
      <c r="Z75" s="302"/>
      <c r="AA75" s="302"/>
      <c r="AB75" s="302"/>
      <c r="AC75" s="303"/>
      <c r="AD75" s="301"/>
      <c r="AE75" s="301"/>
      <c r="AF75" s="301"/>
      <c r="AG75" s="301"/>
      <c r="AH75" s="301"/>
      <c r="AI75" s="303"/>
      <c r="AJ75" s="301"/>
      <c r="AK75" s="301"/>
      <c r="AL75" s="301"/>
      <c r="AM75" s="301"/>
      <c r="AN75" s="301"/>
    </row>
    <row r="76" spans="1:40" ht="19.899999999999999" customHeight="1" x14ac:dyDescent="0.25">
      <c r="A76" s="43"/>
      <c r="B76" s="43"/>
      <c r="C76" s="326" t="s">
        <v>62</v>
      </c>
      <c r="D76" s="326" t="s">
        <v>94</v>
      </c>
      <c r="E76" s="348" t="s">
        <v>1176</v>
      </c>
      <c r="F76" s="349"/>
      <c r="G76" s="350"/>
      <c r="H76" s="351" t="s">
        <v>1239</v>
      </c>
      <c r="I76" s="326" t="s">
        <v>1305</v>
      </c>
      <c r="J76" s="326" t="s">
        <v>1240</v>
      </c>
      <c r="K76" s="326"/>
      <c r="L76" s="326"/>
      <c r="M76" s="326"/>
      <c r="N76" s="326"/>
      <c r="O76" s="326"/>
      <c r="P76" s="326" t="s">
        <v>1306</v>
      </c>
      <c r="Q76" s="286" t="s">
        <v>1236</v>
      </c>
      <c r="R76" s="287"/>
      <c r="S76" s="351" t="s">
        <v>1241</v>
      </c>
      <c r="T76" s="326" t="s">
        <v>1271</v>
      </c>
      <c r="U76" s="43"/>
      <c r="W76" s="303" t="s">
        <v>1246</v>
      </c>
      <c r="X76" s="302"/>
      <c r="Y76" s="302"/>
      <c r="Z76" s="302"/>
      <c r="AA76" s="302"/>
      <c r="AB76" s="302"/>
      <c r="AC76" s="303" t="s">
        <v>1247</v>
      </c>
      <c r="AD76" s="301"/>
      <c r="AE76" s="301"/>
      <c r="AF76" s="301"/>
      <c r="AG76" s="301"/>
      <c r="AH76" s="301"/>
      <c r="AI76" s="303" t="s">
        <v>1248</v>
      </c>
      <c r="AJ76" s="301"/>
      <c r="AK76" s="301"/>
      <c r="AL76" s="301"/>
      <c r="AM76" s="301"/>
      <c r="AN76" s="301"/>
    </row>
    <row r="77" spans="1:40" s="61" customFormat="1" ht="94.5" x14ac:dyDescent="0.25">
      <c r="A77" s="60"/>
      <c r="B77" s="60"/>
      <c r="C77" s="326"/>
      <c r="D77" s="326"/>
      <c r="E77" s="288" t="s">
        <v>109</v>
      </c>
      <c r="F77" s="289" t="s">
        <v>1243</v>
      </c>
      <c r="G77" s="290" t="s">
        <v>1244</v>
      </c>
      <c r="H77" s="352"/>
      <c r="I77" s="326"/>
      <c r="J77" s="125" t="str">
        <f>IF(1&lt;='Шаг 1. Основные исходные данные'!$E$5,"1 год","-")</f>
        <v>1 год</v>
      </c>
      <c r="K77" s="125" t="str">
        <f>IF(2&lt;='Шаг 1. Основные исходные данные'!$E$5,"2 год","-")</f>
        <v>2 год</v>
      </c>
      <c r="L77" s="125" t="str">
        <f>IF(3&lt;='Шаг 1. Основные исходные данные'!$E$5,"3 год","-")</f>
        <v>3 год</v>
      </c>
      <c r="M77" s="125" t="str">
        <f>IF(4&lt;='Шаг 1. Основные исходные данные'!$E$5,"4 год","-")</f>
        <v>4 год</v>
      </c>
      <c r="N77" s="125" t="str">
        <f>IF(5&lt;='Шаг 1. Основные исходные данные'!$E$5,"5 год","-")</f>
        <v>5 год</v>
      </c>
      <c r="O77" s="125" t="str">
        <f>IF(6&lt;='Шаг 1. Основные исходные данные'!$E$5,"6 год","-")</f>
        <v>6 год</v>
      </c>
      <c r="P77" s="326"/>
      <c r="Q77" s="79" t="s">
        <v>92</v>
      </c>
      <c r="R77" s="78" t="s">
        <v>93</v>
      </c>
      <c r="S77" s="352"/>
      <c r="T77" s="327"/>
      <c r="U77" s="43"/>
      <c r="W77" s="304" t="s">
        <v>1221</v>
      </c>
      <c r="X77" s="304" t="s">
        <v>1223</v>
      </c>
      <c r="Y77" s="304" t="s">
        <v>1224</v>
      </c>
      <c r="Z77" s="304" t="s">
        <v>1225</v>
      </c>
      <c r="AA77" s="304" t="s">
        <v>1226</v>
      </c>
      <c r="AB77" s="304" t="s">
        <v>1227</v>
      </c>
      <c r="AC77" s="304" t="s">
        <v>1221</v>
      </c>
      <c r="AD77" s="304" t="s">
        <v>1223</v>
      </c>
      <c r="AE77" s="304" t="s">
        <v>1224</v>
      </c>
      <c r="AF77" s="304" t="s">
        <v>1225</v>
      </c>
      <c r="AG77" s="304" t="s">
        <v>1226</v>
      </c>
      <c r="AH77" s="304" t="s">
        <v>1227</v>
      </c>
      <c r="AI77" s="304" t="s">
        <v>1221</v>
      </c>
      <c r="AJ77" s="304" t="s">
        <v>1223</v>
      </c>
      <c r="AK77" s="304" t="s">
        <v>1224</v>
      </c>
      <c r="AL77" s="304" t="s">
        <v>1225</v>
      </c>
      <c r="AM77" s="304" t="s">
        <v>1226</v>
      </c>
      <c r="AN77" s="304" t="s">
        <v>1227</v>
      </c>
    </row>
    <row r="78" spans="1:40" x14ac:dyDescent="0.25">
      <c r="A78" s="43"/>
      <c r="B78" s="43"/>
      <c r="C78" s="88" t="str">
        <f>IF(LEN(D78)&gt;0,1,"")</f>
        <v/>
      </c>
      <c r="D78" s="75" t="str">
        <f>IF(AND(LEN($D$23)&gt;1,LEN($D$6)&gt;1),$D$6,"")</f>
        <v/>
      </c>
      <c r="E78" s="70"/>
      <c r="F78" s="44"/>
      <c r="G78" s="63"/>
      <c r="H78" s="69"/>
      <c r="I78" s="44"/>
      <c r="J78" s="96"/>
      <c r="K78" s="44"/>
      <c r="L78" s="44"/>
      <c r="M78" s="44"/>
      <c r="N78" s="44"/>
      <c r="O78" s="44"/>
      <c r="P78" s="44"/>
      <c r="Q78" s="73">
        <f>IF(F78=Dict!$A$2,IF($J$19=0,"Ошибка: не заполнен параметр в п.4.1",SUM(W78:AB78)),0)</f>
        <v>0</v>
      </c>
      <c r="R78" s="74">
        <f>IF(G78=Dict!$A$2,IF($M$19=0,"Ошибка: не заполнен параметр в п.4.1",SUM(AC78:AH78)),0)</f>
        <v>0</v>
      </c>
      <c r="S78" s="72">
        <f>IFERROR(HLOOKUP("Ошибка: не заполнен параметр в п.4.1",Q78:R78,1,0),SUM(Q78:R78))</f>
        <v>0</v>
      </c>
      <c r="T78" s="74">
        <f>IF(E78=Dict!$A$2,IFERROR(SUM(AI78:AN78),"Ошибка: не заполнен параметр в п.4.1"),0)</f>
        <v>0</v>
      </c>
      <c r="U78" s="43"/>
      <c r="W78" s="297">
        <f t="shared" ref="W78:AB82" si="64">W$10*$W$23*$H78*J78</f>
        <v>0</v>
      </c>
      <c r="X78" s="297">
        <f t="shared" si="64"/>
        <v>0</v>
      </c>
      <c r="Y78" s="297">
        <f t="shared" si="64"/>
        <v>0</v>
      </c>
      <c r="Z78" s="297">
        <f t="shared" si="64"/>
        <v>0</v>
      </c>
      <c r="AA78" s="297">
        <f t="shared" si="64"/>
        <v>0</v>
      </c>
      <c r="AB78" s="297">
        <f t="shared" si="64"/>
        <v>0</v>
      </c>
      <c r="AC78" s="297">
        <f t="shared" ref="AC78:AH82" si="65">W$9*$X$23*$H78*J78</f>
        <v>0</v>
      </c>
      <c r="AD78" s="297">
        <f t="shared" si="65"/>
        <v>0</v>
      </c>
      <c r="AE78" s="297">
        <f t="shared" si="65"/>
        <v>0</v>
      </c>
      <c r="AF78" s="297">
        <f t="shared" si="65"/>
        <v>0</v>
      </c>
      <c r="AG78" s="297">
        <f t="shared" si="65"/>
        <v>0</v>
      </c>
      <c r="AH78" s="297">
        <f t="shared" si="65"/>
        <v>0</v>
      </c>
      <c r="AI78" s="297">
        <f>$Y$23*'Шаг 1. Основные исходные данные'!$E$9/100*$H78*J78</f>
        <v>0</v>
      </c>
      <c r="AJ78" s="297">
        <f>$Y$23*'Шаг 1. Основные исходные данные'!$E$9/100*$H78*K78</f>
        <v>0</v>
      </c>
      <c r="AK78" s="297">
        <f>$Y$23*'Шаг 1. Основные исходные данные'!$E$9/100*$H78*L78</f>
        <v>0</v>
      </c>
      <c r="AL78" s="297">
        <f>$Y$23*'Шаг 1. Основные исходные данные'!$E$9/100*$H78*M78</f>
        <v>0</v>
      </c>
      <c r="AM78" s="297">
        <f>$Y$23*'Шаг 1. Основные исходные данные'!$E$9/100*$H78*N78</f>
        <v>0</v>
      </c>
      <c r="AN78" s="297">
        <f>$Y$23*'Шаг 1. Основные исходные данные'!$E$9/100*$H78*O78</f>
        <v>0</v>
      </c>
    </row>
    <row r="79" spans="1:40" x14ac:dyDescent="0.25">
      <c r="A79" s="43"/>
      <c r="B79" s="43"/>
      <c r="C79" s="88" t="str">
        <f>IF(LEN(D79)&gt;0,C78+1,"")</f>
        <v/>
      </c>
      <c r="D79" s="75" t="str">
        <f>IF(AND(LEN($D$23)&gt;1,LEN($D$7)&gt;1),$D$7,"")</f>
        <v/>
      </c>
      <c r="E79" s="70"/>
      <c r="F79" s="44"/>
      <c r="G79" s="63"/>
      <c r="H79" s="69"/>
      <c r="I79" s="44"/>
      <c r="J79" s="96"/>
      <c r="K79" s="44"/>
      <c r="L79" s="44"/>
      <c r="M79" s="44"/>
      <c r="N79" s="44"/>
      <c r="O79" s="44"/>
      <c r="P79" s="44"/>
      <c r="Q79" s="73">
        <f>IF(F79=Dict!$A$2,IF($J$19=0,"Ошибка: не заполнен параметр в п.4.1",SUM(W79:AB79)),0)</f>
        <v>0</v>
      </c>
      <c r="R79" s="74">
        <f>IF(G79=Dict!$A$2,IF($M$19=0,"Ошибка: не заполнен параметр в п.4.1",SUM(AC79:AH79)),0)</f>
        <v>0</v>
      </c>
      <c r="S79" s="72">
        <f>IFERROR(HLOOKUP("Ошибка: не заполнен параметр в п.4.1",Q79:R79,1,0),SUM(Q79:R79))</f>
        <v>0</v>
      </c>
      <c r="T79" s="74">
        <f>IF(E79=Dict!$A$2,IFERROR(SUM(AI79:AN79),"Ошибка: не заполнен параметр в п.4.1"),0)</f>
        <v>0</v>
      </c>
      <c r="U79" s="43"/>
      <c r="W79" s="297">
        <f t="shared" si="64"/>
        <v>0</v>
      </c>
      <c r="X79" s="297">
        <f t="shared" si="64"/>
        <v>0</v>
      </c>
      <c r="Y79" s="297">
        <f t="shared" si="64"/>
        <v>0</v>
      </c>
      <c r="Z79" s="297">
        <f t="shared" si="64"/>
        <v>0</v>
      </c>
      <c r="AA79" s="297">
        <f t="shared" si="64"/>
        <v>0</v>
      </c>
      <c r="AB79" s="297">
        <f t="shared" si="64"/>
        <v>0</v>
      </c>
      <c r="AC79" s="297">
        <f t="shared" si="65"/>
        <v>0</v>
      </c>
      <c r="AD79" s="297">
        <f t="shared" si="65"/>
        <v>0</v>
      </c>
      <c r="AE79" s="297">
        <f t="shared" si="65"/>
        <v>0</v>
      </c>
      <c r="AF79" s="297">
        <f t="shared" si="65"/>
        <v>0</v>
      </c>
      <c r="AG79" s="297">
        <f t="shared" si="65"/>
        <v>0</v>
      </c>
      <c r="AH79" s="297">
        <f t="shared" si="65"/>
        <v>0</v>
      </c>
      <c r="AI79" s="297">
        <f>$Y$23*'Шаг 1. Основные исходные данные'!$E$9/100*$H79*J79</f>
        <v>0</v>
      </c>
      <c r="AJ79" s="297">
        <f>$Y$23*'Шаг 1. Основные исходные данные'!$E$9/100*$H79*K79</f>
        <v>0</v>
      </c>
      <c r="AK79" s="297">
        <f>$Y$23*'Шаг 1. Основные исходные данные'!$E$9/100*$H79*L79</f>
        <v>0</v>
      </c>
      <c r="AL79" s="297">
        <f>$Y$23*'Шаг 1. Основные исходные данные'!$E$9/100*$H79*M79</f>
        <v>0</v>
      </c>
      <c r="AM79" s="297">
        <f>$Y$23*'Шаг 1. Основные исходные данные'!$E$9/100*$H79*N79</f>
        <v>0</v>
      </c>
      <c r="AN79" s="297">
        <f>$Y$23*'Шаг 1. Основные исходные данные'!$E$9/100*$H79*O79</f>
        <v>0</v>
      </c>
    </row>
    <row r="80" spans="1:40" x14ac:dyDescent="0.25">
      <c r="A80" s="43"/>
      <c r="B80" s="43"/>
      <c r="C80" s="88" t="str">
        <f>IF(LEN(D80)&gt;0,C79+1,"")</f>
        <v/>
      </c>
      <c r="D80" s="75" t="str">
        <f>IF(AND(LEN($D$23)&gt;1,LEN($D$8)&gt;1),$D$8,"")</f>
        <v/>
      </c>
      <c r="E80" s="70"/>
      <c r="F80" s="44"/>
      <c r="G80" s="63"/>
      <c r="H80" s="69"/>
      <c r="I80" s="44"/>
      <c r="J80" s="96"/>
      <c r="K80" s="44"/>
      <c r="L80" s="44"/>
      <c r="M80" s="44"/>
      <c r="N80" s="44"/>
      <c r="O80" s="44"/>
      <c r="P80" s="44"/>
      <c r="Q80" s="73">
        <f>IF(F80=Dict!$A$2,IF($J$19=0,"Ошибка: не заполнен параметр в п.4.1",SUM(W80:AB80)),0)</f>
        <v>0</v>
      </c>
      <c r="R80" s="74">
        <f>IF(G80=Dict!$A$2,IF($M$19=0,"Ошибка: не заполнен параметр в п.4.1",SUM(AC80:AH80)),0)</f>
        <v>0</v>
      </c>
      <c r="S80" s="72">
        <f>IFERROR(HLOOKUP("Ошибка: не заполнен параметр в п.4.1",Q80:R80,1,0),SUM(Q80:R80))</f>
        <v>0</v>
      </c>
      <c r="T80" s="74">
        <f>IF(E80=Dict!$A$2,IFERROR(SUM(AI80:AN80),"Ошибка: не заполнен параметр в п.4.1"),0)</f>
        <v>0</v>
      </c>
      <c r="U80" s="43"/>
      <c r="W80" s="297">
        <f t="shared" si="64"/>
        <v>0</v>
      </c>
      <c r="X80" s="297">
        <f t="shared" si="64"/>
        <v>0</v>
      </c>
      <c r="Y80" s="297">
        <f t="shared" si="64"/>
        <v>0</v>
      </c>
      <c r="Z80" s="297">
        <f t="shared" si="64"/>
        <v>0</v>
      </c>
      <c r="AA80" s="297">
        <f t="shared" si="64"/>
        <v>0</v>
      </c>
      <c r="AB80" s="297">
        <f t="shared" si="64"/>
        <v>0</v>
      </c>
      <c r="AC80" s="297">
        <f t="shared" si="65"/>
        <v>0</v>
      </c>
      <c r="AD80" s="297">
        <f t="shared" si="65"/>
        <v>0</v>
      </c>
      <c r="AE80" s="297">
        <f t="shared" si="65"/>
        <v>0</v>
      </c>
      <c r="AF80" s="297">
        <f t="shared" si="65"/>
        <v>0</v>
      </c>
      <c r="AG80" s="297">
        <f t="shared" si="65"/>
        <v>0</v>
      </c>
      <c r="AH80" s="297">
        <f t="shared" si="65"/>
        <v>0</v>
      </c>
      <c r="AI80" s="297">
        <f>$Y$23*'Шаг 1. Основные исходные данные'!$E$9/100*$H80*J80</f>
        <v>0</v>
      </c>
      <c r="AJ80" s="297">
        <f>$Y$23*'Шаг 1. Основные исходные данные'!$E$9/100*$H80*K80</f>
        <v>0</v>
      </c>
      <c r="AK80" s="297">
        <f>$Y$23*'Шаг 1. Основные исходные данные'!$E$9/100*$H80*L80</f>
        <v>0</v>
      </c>
      <c r="AL80" s="297">
        <f>$Y$23*'Шаг 1. Основные исходные данные'!$E$9/100*$H80*M80</f>
        <v>0</v>
      </c>
      <c r="AM80" s="297">
        <f>$Y$23*'Шаг 1. Основные исходные данные'!$E$9/100*$H80*N80</f>
        <v>0</v>
      </c>
      <c r="AN80" s="297">
        <f>$Y$23*'Шаг 1. Основные исходные данные'!$E$9/100*$H80*O80</f>
        <v>0</v>
      </c>
    </row>
    <row r="81" spans="1:40" x14ac:dyDescent="0.25">
      <c r="A81" s="43"/>
      <c r="B81" s="43"/>
      <c r="C81" s="88" t="str">
        <f>IF(LEN(D81)&gt;0,C80+1,"")</f>
        <v/>
      </c>
      <c r="D81" s="75" t="str">
        <f>IF(AND(LEN($D$23)&gt;1,LEN($D$9)&gt;1),$D$9,"")</f>
        <v/>
      </c>
      <c r="E81" s="70"/>
      <c r="F81" s="44"/>
      <c r="G81" s="63"/>
      <c r="H81" s="69"/>
      <c r="I81" s="44"/>
      <c r="J81" s="96"/>
      <c r="K81" s="44"/>
      <c r="L81" s="44"/>
      <c r="M81" s="44"/>
      <c r="N81" s="44"/>
      <c r="O81" s="44"/>
      <c r="P81" s="44"/>
      <c r="Q81" s="73">
        <f>IF(F81=Dict!$A$2,IF($J$19=0,"Ошибка: не заполнен параметр в п.4.1",SUM(W81:AB81)),0)</f>
        <v>0</v>
      </c>
      <c r="R81" s="74">
        <f>IF(G81=Dict!$A$2,IF($M$19=0,"Ошибка: не заполнен параметр в п.4.1",SUM(AC81:AH81)),0)</f>
        <v>0</v>
      </c>
      <c r="S81" s="72">
        <f>IFERROR(HLOOKUP("Ошибка: не заполнен параметр в п.4.1",Q81:R81,1,0),SUM(Q81:R81))</f>
        <v>0</v>
      </c>
      <c r="T81" s="74">
        <f>IF(E81=Dict!$A$2,IFERROR(SUM(AI81:AN81),"Ошибка: не заполнен параметр в п.4.1"),0)</f>
        <v>0</v>
      </c>
      <c r="U81" s="43"/>
      <c r="W81" s="297">
        <f t="shared" si="64"/>
        <v>0</v>
      </c>
      <c r="X81" s="297">
        <f t="shared" si="64"/>
        <v>0</v>
      </c>
      <c r="Y81" s="297">
        <f t="shared" si="64"/>
        <v>0</v>
      </c>
      <c r="Z81" s="297">
        <f t="shared" si="64"/>
        <v>0</v>
      </c>
      <c r="AA81" s="297">
        <f t="shared" si="64"/>
        <v>0</v>
      </c>
      <c r="AB81" s="297">
        <f t="shared" si="64"/>
        <v>0</v>
      </c>
      <c r="AC81" s="297">
        <f t="shared" si="65"/>
        <v>0</v>
      </c>
      <c r="AD81" s="297">
        <f t="shared" si="65"/>
        <v>0</v>
      </c>
      <c r="AE81" s="297">
        <f t="shared" si="65"/>
        <v>0</v>
      </c>
      <c r="AF81" s="297">
        <f t="shared" si="65"/>
        <v>0</v>
      </c>
      <c r="AG81" s="297">
        <f t="shared" si="65"/>
        <v>0</v>
      </c>
      <c r="AH81" s="297">
        <f t="shared" si="65"/>
        <v>0</v>
      </c>
      <c r="AI81" s="297">
        <f>$Y$23*'Шаг 1. Основные исходные данные'!$E$9/100*$H81*J81</f>
        <v>0</v>
      </c>
      <c r="AJ81" s="297">
        <f>$Y$23*'Шаг 1. Основные исходные данные'!$E$9/100*$H81*K81</f>
        <v>0</v>
      </c>
      <c r="AK81" s="297">
        <f>$Y$23*'Шаг 1. Основные исходные данные'!$E$9/100*$H81*L81</f>
        <v>0</v>
      </c>
      <c r="AL81" s="297">
        <f>$Y$23*'Шаг 1. Основные исходные данные'!$E$9/100*$H81*M81</f>
        <v>0</v>
      </c>
      <c r="AM81" s="297">
        <f>$Y$23*'Шаг 1. Основные исходные данные'!$E$9/100*$H81*N81</f>
        <v>0</v>
      </c>
      <c r="AN81" s="297">
        <f>$Y$23*'Шаг 1. Основные исходные данные'!$E$9/100*$H81*O81</f>
        <v>0</v>
      </c>
    </row>
    <row r="82" spans="1:40" x14ac:dyDescent="0.25">
      <c r="A82" s="43"/>
      <c r="B82" s="43"/>
      <c r="C82" s="88" t="str">
        <f>IF(LEN(D82)&gt;0,C81+1,"")</f>
        <v/>
      </c>
      <c r="D82" s="75" t="str">
        <f>IF(AND(LEN($D$23)&gt;1,LEN($D$10)&gt;1),$D$10,"")</f>
        <v/>
      </c>
      <c r="E82" s="71"/>
      <c r="F82" s="65"/>
      <c r="G82" s="68"/>
      <c r="H82" s="69"/>
      <c r="I82" s="44"/>
      <c r="J82" s="96"/>
      <c r="K82" s="44"/>
      <c r="L82" s="44"/>
      <c r="M82" s="44"/>
      <c r="N82" s="44"/>
      <c r="O82" s="44"/>
      <c r="P82" s="44"/>
      <c r="Q82" s="73">
        <f>IF(F82=Dict!$A$2,IF($J$19=0,"Ошибка: не заполнен параметр в п.4.1",SUM(W82:AB82)),0)</f>
        <v>0</v>
      </c>
      <c r="R82" s="74">
        <f>IF(G82=Dict!$A$2,IF($M$19=0,"Ошибка: не заполнен параметр в п.4.1",SUM(AC82:AH82)),0)</f>
        <v>0</v>
      </c>
      <c r="S82" s="72">
        <f>IFERROR(HLOOKUP("Ошибка: не заполнен параметр в п.4.1",Q82:R82,1,0),SUM(Q82:R82))</f>
        <v>0</v>
      </c>
      <c r="T82" s="74">
        <f>IF(E82=Dict!$A$2,IFERROR(SUM(AI82:AN82),"Ошибка: не заполнен параметр в п.4.1"),0)</f>
        <v>0</v>
      </c>
      <c r="U82" s="43"/>
      <c r="W82" s="297">
        <f t="shared" si="64"/>
        <v>0</v>
      </c>
      <c r="X82" s="297">
        <f t="shared" si="64"/>
        <v>0</v>
      </c>
      <c r="Y82" s="297">
        <f t="shared" si="64"/>
        <v>0</v>
      </c>
      <c r="Z82" s="297">
        <f t="shared" si="64"/>
        <v>0</v>
      </c>
      <c r="AA82" s="297">
        <f t="shared" si="64"/>
        <v>0</v>
      </c>
      <c r="AB82" s="297">
        <f t="shared" si="64"/>
        <v>0</v>
      </c>
      <c r="AC82" s="297">
        <f t="shared" si="65"/>
        <v>0</v>
      </c>
      <c r="AD82" s="297">
        <f t="shared" si="65"/>
        <v>0</v>
      </c>
      <c r="AE82" s="297">
        <f t="shared" si="65"/>
        <v>0</v>
      </c>
      <c r="AF82" s="297">
        <f t="shared" si="65"/>
        <v>0</v>
      </c>
      <c r="AG82" s="297">
        <f t="shared" si="65"/>
        <v>0</v>
      </c>
      <c r="AH82" s="297">
        <f t="shared" si="65"/>
        <v>0</v>
      </c>
      <c r="AI82" s="297">
        <f>$Y$23*'Шаг 1. Основные исходные данные'!$E$9/100*$H82*J82</f>
        <v>0</v>
      </c>
      <c r="AJ82" s="297">
        <f>$Y$23*'Шаг 1. Основные исходные данные'!$E$9/100*$H82*K82</f>
        <v>0</v>
      </c>
      <c r="AK82" s="297">
        <f>$Y$23*'Шаг 1. Основные исходные данные'!$E$9/100*$H82*L82</f>
        <v>0</v>
      </c>
      <c r="AL82" s="297">
        <f>$Y$23*'Шаг 1. Основные исходные данные'!$E$9/100*$H82*M82</f>
        <v>0</v>
      </c>
      <c r="AM82" s="297">
        <f>$Y$23*'Шаг 1. Основные исходные данные'!$E$9/100*$H82*N82</f>
        <v>0</v>
      </c>
      <c r="AN82" s="297">
        <f>$Y$23*'Шаг 1. Основные исходные данные'!$E$9/100*$H82*O82</f>
        <v>0</v>
      </c>
    </row>
    <row r="83" spans="1:40" ht="19.899999999999999" customHeight="1" x14ac:dyDescent="0.25">
      <c r="A83" s="43"/>
      <c r="B83" s="43"/>
      <c r="C83" s="35" t="s">
        <v>95</v>
      </c>
      <c r="D83" s="35"/>
      <c r="E83" s="35"/>
      <c r="F83" s="35"/>
      <c r="G83" s="35"/>
      <c r="H83" s="35"/>
      <c r="I83" s="35"/>
      <c r="J83" s="35"/>
      <c r="K83" s="35"/>
      <c r="L83" s="35"/>
      <c r="M83" s="35"/>
      <c r="N83" s="35"/>
      <c r="O83" s="35"/>
      <c r="P83" s="35"/>
      <c r="Q83" s="57">
        <f t="shared" ref="Q83:T83" si="66">IFERROR(VLOOKUP("Ошибка: не заполнен параметр в п.4.1",Q78:Q82,1,0),SUM(Q78:Q82))</f>
        <v>0</v>
      </c>
      <c r="R83" s="57">
        <f t="shared" si="66"/>
        <v>0</v>
      </c>
      <c r="S83" s="57">
        <f t="shared" si="66"/>
        <v>0</v>
      </c>
      <c r="T83" s="57">
        <f t="shared" si="66"/>
        <v>0</v>
      </c>
      <c r="U83" s="43"/>
      <c r="W83" s="298">
        <f>SUM(W78:W82)</f>
        <v>0</v>
      </c>
      <c r="X83" s="298">
        <f t="shared" ref="X83" si="67">SUM(X78:X82)</f>
        <v>0</v>
      </c>
      <c r="Y83" s="298">
        <f t="shared" ref="Y83" si="68">SUM(Y78:Y82)</f>
        <v>0</v>
      </c>
      <c r="Z83" s="298">
        <f t="shared" ref="Z83" si="69">SUM(Z78:Z82)</f>
        <v>0</v>
      </c>
      <c r="AA83" s="298">
        <f t="shared" ref="AA83" si="70">SUM(AA78:AA82)</f>
        <v>0</v>
      </c>
      <c r="AB83" s="298">
        <f t="shared" ref="AB83" si="71">SUM(AB78:AB82)</f>
        <v>0</v>
      </c>
      <c r="AC83" s="299">
        <f>SUM(AC78:AC82)</f>
        <v>0</v>
      </c>
      <c r="AD83" s="299">
        <f t="shared" ref="AD83" si="72">SUM(AD78:AD82)</f>
        <v>0</v>
      </c>
      <c r="AE83" s="299">
        <f t="shared" ref="AE83" si="73">SUM(AE78:AE82)</f>
        <v>0</v>
      </c>
      <c r="AF83" s="299">
        <f t="shared" ref="AF83" si="74">SUM(AF78:AF82)</f>
        <v>0</v>
      </c>
      <c r="AG83" s="299">
        <f t="shared" ref="AG83" si="75">SUM(AG78:AG82)</f>
        <v>0</v>
      </c>
      <c r="AH83" s="299">
        <f t="shared" ref="AH83" si="76">SUM(AH78:AH82)</f>
        <v>0</v>
      </c>
      <c r="AI83" s="299">
        <f>SUM(AI78:AI82)</f>
        <v>0</v>
      </c>
      <c r="AJ83" s="299">
        <f t="shared" ref="AJ83" si="77">SUM(AJ78:AJ82)</f>
        <v>0</v>
      </c>
      <c r="AK83" s="299">
        <f t="shared" ref="AK83" si="78">SUM(AK78:AK82)</f>
        <v>0</v>
      </c>
      <c r="AL83" s="299">
        <f t="shared" ref="AL83" si="79">SUM(AL78:AL82)</f>
        <v>0</v>
      </c>
      <c r="AM83" s="299">
        <f t="shared" ref="AM83" si="80">SUM(AM78:AM82)</f>
        <v>0</v>
      </c>
      <c r="AN83" s="299">
        <f t="shared" ref="AN83" si="81">SUM(AN78:AN82)</f>
        <v>0</v>
      </c>
    </row>
    <row r="84" spans="1:40" x14ac:dyDescent="0.25">
      <c r="A84" s="43"/>
      <c r="B84" s="43"/>
      <c r="C84" s="43"/>
      <c r="D84" s="43"/>
      <c r="E84" s="43"/>
      <c r="F84" s="43"/>
      <c r="G84" s="43"/>
      <c r="H84" s="43"/>
      <c r="I84" s="43"/>
      <c r="J84" s="43"/>
      <c r="K84" s="43"/>
      <c r="L84" s="43"/>
      <c r="M84" s="43"/>
      <c r="N84" s="43"/>
      <c r="O84" s="43"/>
      <c r="P84" s="43"/>
      <c r="Q84" s="43"/>
      <c r="R84" s="43"/>
      <c r="S84" s="43"/>
      <c r="T84" s="43"/>
      <c r="U84" s="43"/>
      <c r="W84" s="272"/>
      <c r="X84" s="272"/>
      <c r="Y84" s="272"/>
      <c r="Z84" s="272"/>
      <c r="AA84" s="272"/>
      <c r="AB84" s="272"/>
    </row>
    <row r="85" spans="1:40" x14ac:dyDescent="0.25">
      <c r="W85" s="272"/>
      <c r="X85" s="272"/>
      <c r="Y85" s="272"/>
      <c r="Z85" s="272"/>
      <c r="AA85" s="272"/>
      <c r="AB85" s="272"/>
    </row>
    <row r="86" spans="1:40" x14ac:dyDescent="0.25">
      <c r="W86" s="272"/>
      <c r="X86" s="272"/>
      <c r="Y86" s="272"/>
      <c r="Z86" s="272"/>
      <c r="AA86" s="272"/>
      <c r="AB86" s="272"/>
    </row>
    <row r="87" spans="1:40" x14ac:dyDescent="0.25">
      <c r="W87" s="272"/>
      <c r="X87" s="272"/>
      <c r="Y87" s="272"/>
      <c r="Z87" s="272"/>
      <c r="AA87" s="272"/>
      <c r="AB87" s="272"/>
    </row>
    <row r="88" spans="1:40" x14ac:dyDescent="0.25">
      <c r="W88" s="272"/>
      <c r="X88" s="272"/>
      <c r="Y88" s="272"/>
      <c r="Z88" s="272"/>
      <c r="AA88" s="272"/>
      <c r="AB88" s="272"/>
    </row>
    <row r="89" spans="1:40" x14ac:dyDescent="0.25">
      <c r="W89" s="272"/>
      <c r="X89" s="272"/>
      <c r="Y89" s="272"/>
      <c r="Z89" s="272"/>
      <c r="AA89" s="272"/>
      <c r="AB89" s="272"/>
    </row>
    <row r="90" spans="1:40" x14ac:dyDescent="0.25">
      <c r="W90" s="272"/>
      <c r="X90" s="272"/>
      <c r="Y90" s="272"/>
      <c r="Z90" s="272"/>
      <c r="AA90" s="272"/>
      <c r="AB90" s="272"/>
    </row>
  </sheetData>
  <mergeCells count="61">
    <mergeCell ref="C3:H3"/>
    <mergeCell ref="J5:Q11"/>
    <mergeCell ref="C11:D11"/>
    <mergeCell ref="C12:H12"/>
    <mergeCell ref="C17:C18"/>
    <mergeCell ref="D17:D18"/>
    <mergeCell ref="E17:E18"/>
    <mergeCell ref="F17:F18"/>
    <mergeCell ref="G17:G18"/>
    <mergeCell ref="H17:O17"/>
    <mergeCell ref="N18:O18"/>
    <mergeCell ref="C64:C65"/>
    <mergeCell ref="D64:D65"/>
    <mergeCell ref="I64:I65"/>
    <mergeCell ref="C52:C53"/>
    <mergeCell ref="D52:D53"/>
    <mergeCell ref="I52:I53"/>
    <mergeCell ref="E52:G52"/>
    <mergeCell ref="H52:H53"/>
    <mergeCell ref="T76:T77"/>
    <mergeCell ref="C76:C77"/>
    <mergeCell ref="D76:D77"/>
    <mergeCell ref="I76:I77"/>
    <mergeCell ref="E76:G76"/>
    <mergeCell ref="H76:H77"/>
    <mergeCell ref="J76:O76"/>
    <mergeCell ref="P76:P77"/>
    <mergeCell ref="S76:S77"/>
    <mergeCell ref="P28:P29"/>
    <mergeCell ref="P52:P53"/>
    <mergeCell ref="S52:S53"/>
    <mergeCell ref="N22:O22"/>
    <mergeCell ref="N23:O23"/>
    <mergeCell ref="N19:O19"/>
    <mergeCell ref="N20:O20"/>
    <mergeCell ref="N21:O21"/>
    <mergeCell ref="I28:I29"/>
    <mergeCell ref="J52:O52"/>
    <mergeCell ref="T28:T29"/>
    <mergeCell ref="C40:C41"/>
    <mergeCell ref="D40:D41"/>
    <mergeCell ref="E40:G40"/>
    <mergeCell ref="H40:H41"/>
    <mergeCell ref="I40:I41"/>
    <mergeCell ref="J40:O40"/>
    <mergeCell ref="P40:P41"/>
    <mergeCell ref="S40:S41"/>
    <mergeCell ref="T40:T41"/>
    <mergeCell ref="J28:O28"/>
    <mergeCell ref="C28:C29"/>
    <mergeCell ref="D28:D29"/>
    <mergeCell ref="S28:S29"/>
    <mergeCell ref="E28:G28"/>
    <mergeCell ref="H28:H29"/>
    <mergeCell ref="T52:T53"/>
    <mergeCell ref="E64:G64"/>
    <mergeCell ref="H64:H65"/>
    <mergeCell ref="J64:O64"/>
    <mergeCell ref="P64:P65"/>
    <mergeCell ref="S64:S65"/>
    <mergeCell ref="T64:T65"/>
  </mergeCells>
  <conditionalFormatting sqref="K30:O34">
    <cfRule type="expression" dxfId="4" priority="17">
      <formula>K$29="-"</formula>
    </cfRule>
  </conditionalFormatting>
  <conditionalFormatting sqref="K42:O46">
    <cfRule type="expression" dxfId="3" priority="13">
      <formula>K$29="-"</formula>
    </cfRule>
  </conditionalFormatting>
  <conditionalFormatting sqref="K54:O58">
    <cfRule type="expression" dxfId="2" priority="9">
      <formula>K$29="-"</formula>
    </cfRule>
  </conditionalFormatting>
  <conditionalFormatting sqref="K66:O70">
    <cfRule type="expression" dxfId="1" priority="5">
      <formula>K$29="-"</formula>
    </cfRule>
  </conditionalFormatting>
  <conditionalFormatting sqref="K78:O82">
    <cfRule type="expression" dxfId="0" priority="1">
      <formula>K$29="-"</formula>
    </cfRule>
  </conditionalFormatting>
  <pageMargins left="0.7" right="0.7" top="0.75" bottom="0.75" header="0.3" footer="0.3"/>
  <pageSetup paperSize="9" scale="23"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Dict!$A$2:$A$3</xm:f>
          </x14:formula1>
          <xm:sqref>E30:G34 E42:G46 E54:G58 E66:G70 E78:G82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M30"/>
  <sheetViews>
    <sheetView topLeftCell="C1" zoomScale="80" zoomScaleNormal="80" workbookViewId="0">
      <selection activeCell="D5" sqref="D5"/>
    </sheetView>
  </sheetViews>
  <sheetFormatPr defaultRowHeight="15" x14ac:dyDescent="0.25"/>
  <cols>
    <col min="3" max="3" width="43.28515625" customWidth="1"/>
    <col min="4" max="10" width="27.7109375" customWidth="1"/>
    <col min="11" max="11" width="14.5703125" customWidth="1"/>
  </cols>
  <sheetData>
    <row r="1" spans="1:13" x14ac:dyDescent="0.25">
      <c r="A1" s="12"/>
      <c r="B1" s="12"/>
      <c r="C1" s="12"/>
      <c r="D1" s="12"/>
      <c r="E1" s="12"/>
      <c r="F1" s="12"/>
      <c r="G1" s="12"/>
      <c r="H1" s="12"/>
      <c r="I1" s="12"/>
      <c r="J1" s="12"/>
      <c r="K1" s="12"/>
      <c r="L1" s="12"/>
      <c r="M1" s="12"/>
    </row>
    <row r="2" spans="1:13" ht="18" x14ac:dyDescent="0.25">
      <c r="A2" s="12"/>
      <c r="B2" s="33" t="s">
        <v>97</v>
      </c>
      <c r="C2" s="12"/>
      <c r="D2" s="12"/>
      <c r="E2" s="12"/>
      <c r="F2" s="12"/>
      <c r="G2" s="12"/>
      <c r="H2" s="12"/>
      <c r="I2" s="12"/>
      <c r="J2" s="12"/>
      <c r="K2" s="12"/>
      <c r="L2" s="12"/>
      <c r="M2" s="12"/>
    </row>
    <row r="3" spans="1:13" ht="18.75" x14ac:dyDescent="0.3">
      <c r="A3" s="12"/>
      <c r="B3" s="58"/>
      <c r="C3" s="12"/>
      <c r="D3" s="12"/>
      <c r="E3" s="12"/>
      <c r="F3" s="12"/>
      <c r="G3" s="12"/>
      <c r="H3" s="12"/>
      <c r="I3" s="12"/>
      <c r="J3" s="12"/>
      <c r="K3" s="12"/>
      <c r="L3" s="12"/>
      <c r="M3" s="12"/>
    </row>
    <row r="4" spans="1:13" ht="31.5" x14ac:dyDescent="0.25">
      <c r="A4" s="12"/>
      <c r="B4" s="85"/>
      <c r="C4" s="85"/>
      <c r="D4" s="125" t="str">
        <f>IF(1&lt;='Шаг 1. Основные исходные данные'!$E$5,"1 год","-")</f>
        <v>1 год</v>
      </c>
      <c r="E4" s="125" t="str">
        <f>IF(2&lt;='Шаг 1. Основные исходные данные'!$E$5,"2 год","-")</f>
        <v>2 год</v>
      </c>
      <c r="F4" s="125" t="str">
        <f>IF(3&lt;='Шаг 1. Основные исходные данные'!$E$5,"3 год","-")</f>
        <v>3 год</v>
      </c>
      <c r="G4" s="125" t="str">
        <f>IF(4&lt;='Шаг 1. Основные исходные данные'!$E$5,"4 год","-")</f>
        <v>4 год</v>
      </c>
      <c r="H4" s="125" t="str">
        <f>IF(5&lt;='Шаг 1. Основные исходные данные'!$E$5,"5 год","-")</f>
        <v>5 год</v>
      </c>
      <c r="I4" s="125" t="str">
        <f>IF(6&lt;='Шаг 1. Основные исходные данные'!$E$5,"6 год","-")</f>
        <v>6 год</v>
      </c>
      <c r="J4" s="125" t="s">
        <v>95</v>
      </c>
      <c r="K4" s="125" t="s">
        <v>1172</v>
      </c>
      <c r="L4" s="12"/>
      <c r="M4" s="12"/>
    </row>
    <row r="5" spans="1:13" ht="40.15" customHeight="1" x14ac:dyDescent="0.25">
      <c r="A5" s="12"/>
      <c r="B5" s="87">
        <v>1</v>
      </c>
      <c r="C5" s="85" t="s">
        <v>37</v>
      </c>
      <c r="D5" s="41">
        <f>SUM('Шаг 2. Информационные'!X31,'Шаг 2. Информационные'!X41,'Шаг 2. Информационные'!X55,'Шаг 2. Информационные'!X65,'Шаг 2. Информационные'!X79,'Шаг 2. Информационные'!X89,'Шаг 2. Информационные'!X103,'Шаг 2. Информационные'!X113,'Шаг 2. Информационные'!X127,'Шаг 2. Информационные'!X137)</f>
        <v>405893.27877321228</v>
      </c>
      <c r="E5" s="41">
        <f>SUM('Шаг 2. Информационные'!Y31,'Шаг 2. Информационные'!Y41,'Шаг 2. Информационные'!Y55,'Шаг 2. Информационные'!Y65,'Шаг 2. Информационные'!Y79,'Шаг 2. Информационные'!Y89,'Шаг 2. Информационные'!Y103,'Шаг 2. Информационные'!Y113,'Шаг 2. Информационные'!Y127,'Шаг 2. Информационные'!Y137)</f>
        <v>459536.13449588005</v>
      </c>
      <c r="F5" s="41">
        <f>SUM('Шаг 2. Информационные'!Z31,'Шаг 2. Информационные'!Z41,'Шаг 2. Информационные'!Z55,'Шаг 2. Информационные'!Z65,'Шаг 2. Информационные'!Z79,'Шаг 2. Информационные'!Z89,'Шаг 2. Информационные'!Z103,'Шаг 2. Информационные'!Z113,'Шаг 2. Информационные'!Z127,'Шаг 2. Информационные'!Z137)</f>
        <v>506505.32280270389</v>
      </c>
      <c r="G5" s="41">
        <f>SUM('Шаг 2. Информационные'!AA31,'Шаг 2. Информационные'!AA41,'Шаг 2. Информационные'!AA55,'Шаг 2. Информационные'!AA65,'Шаг 2. Информационные'!AA79,'Шаг 2. Информационные'!AA89,'Шаг 2. Информационные'!AA103,'Шаг 2. Информационные'!AA113,'Шаг 2. Информационные'!AA127,'Шаг 2. Информационные'!AA137)</f>
        <v>548469.28879690787</v>
      </c>
      <c r="H5" s="41">
        <f>SUM('Шаг 2. Информационные'!AB31,'Шаг 2. Информационные'!AB41,'Шаг 2. Информационные'!AB55,'Шаг 2. Информационные'!AB65,'Шаг 2. Информационные'!AB79,'Шаг 2. Информационные'!AB89,'Шаг 2. Информационные'!AB103,'Шаг 2. Информационные'!AB113,'Шаг 2. Информационные'!AB127,'Шаг 2. Информационные'!AB137)</f>
        <v>593909.96937373187</v>
      </c>
      <c r="I5" s="41">
        <f>SUM('Шаг 2. Информационные'!AC31,'Шаг 2. Информационные'!AC41,'Шаг 2. Информационные'!AC55,'Шаг 2. Информационные'!AC65,'Шаг 2. Информационные'!AC79,'Шаг 2. Информационные'!AC89,'Шаг 2. Информационные'!AC103,'Шаг 2. Информационные'!AC113,'Шаг 2. Информационные'!AC127,'Шаг 2. Информационные'!AC137)</f>
        <v>643115.41033634555</v>
      </c>
      <c r="J5" s="41">
        <f>SUM(D5:I5)</f>
        <v>3157429.4045787812</v>
      </c>
      <c r="K5" s="82" t="s">
        <v>0</v>
      </c>
      <c r="L5" s="12"/>
      <c r="M5" s="12"/>
    </row>
    <row r="6" spans="1:13" ht="40.15" customHeight="1" x14ac:dyDescent="0.25">
      <c r="A6" s="12"/>
      <c r="B6" s="87">
        <v>2</v>
      </c>
      <c r="C6" s="85" t="s">
        <v>38</v>
      </c>
      <c r="D6" s="41">
        <f>SUM('Шаг 3. Содержательные'!X31,'Шаг 3. Содержательные'!X41,'Шаг 3. Содержательные'!X55,'Шаг 3. Содержательные'!X65,'Шаг 3. Содержательные'!X79,'Шаг 3. Содержательные'!X89,'Шаг 3. Содержательные'!X103,'Шаг 3. Содержательные'!X113,'Шаг 3. Содержательные'!X127,'Шаг 3. Содержательные'!X137)</f>
        <v>0</v>
      </c>
      <c r="E6" s="41">
        <f>SUM('Шаг 3. Содержательные'!Y31,'Шаг 3. Содержательные'!Y41,'Шаг 3. Содержательные'!Y55,'Шаг 3. Содержательные'!Y65,'Шаг 3. Содержательные'!Y79,'Шаг 3. Содержательные'!Y89,'Шаг 3. Содержательные'!Y103,'Шаг 3. Содержательные'!Y113,'Шаг 3. Содержательные'!Y127,'Шаг 3. Содержательные'!Y137)</f>
        <v>0</v>
      </c>
      <c r="F6" s="41">
        <f>SUM('Шаг 3. Содержательные'!Z31,'Шаг 3. Содержательные'!Z41,'Шаг 3. Содержательные'!Z55,'Шаг 3. Содержательные'!Z65,'Шаг 3. Содержательные'!Z79,'Шаг 3. Содержательные'!Z89,'Шаг 3. Содержательные'!Z103,'Шаг 3. Содержательные'!Z113,'Шаг 3. Содержательные'!Z127,'Шаг 3. Содержательные'!Z137)</f>
        <v>0</v>
      </c>
      <c r="G6" s="41">
        <f>SUM('Шаг 3. Содержательные'!AA31,'Шаг 3. Содержательные'!AA41,'Шаг 3. Содержательные'!AA55,'Шаг 3. Содержательные'!AA65,'Шаг 3. Содержательные'!AA79,'Шаг 3. Содержательные'!AA89,'Шаг 3. Содержательные'!AA103,'Шаг 3. Содержательные'!AA113,'Шаг 3. Содержательные'!AA127,'Шаг 3. Содержательные'!AA137)</f>
        <v>0</v>
      </c>
      <c r="H6" s="41">
        <f>SUM('Шаг 3. Содержательные'!AB31,'Шаг 3. Содержательные'!AB41,'Шаг 3. Содержательные'!AB55,'Шаг 3. Содержательные'!AB65,'Шаг 3. Содержательные'!AB79,'Шаг 3. Содержательные'!AB89,'Шаг 3. Содержательные'!AB103,'Шаг 3. Содержательные'!AB113,'Шаг 3. Содержательные'!AB127,'Шаг 3. Содержательные'!AB137)</f>
        <v>0</v>
      </c>
      <c r="I6" s="41">
        <f>SUM('Шаг 3. Содержательные'!AC31,'Шаг 3. Содержательные'!AC41,'Шаг 3. Содержательные'!AC55,'Шаг 3. Содержательные'!AC65,'Шаг 3. Содержательные'!AC79,'Шаг 3. Содержательные'!AC89,'Шаг 3. Содержательные'!AC103,'Шаг 3. Содержательные'!AC113,'Шаг 3. Содержательные'!AC127,'Шаг 3. Содержательные'!AC137)</f>
        <v>0</v>
      </c>
      <c r="J6" s="41">
        <f t="shared" ref="J6:J9" si="0">SUM(D6:I6)</f>
        <v>0</v>
      </c>
      <c r="K6" s="82" t="s">
        <v>0</v>
      </c>
      <c r="L6" s="12"/>
      <c r="M6" s="12"/>
    </row>
    <row r="7" spans="1:13" ht="40.15" customHeight="1" x14ac:dyDescent="0.25">
      <c r="A7" s="12"/>
      <c r="B7" s="87">
        <v>3</v>
      </c>
      <c r="C7" s="85" t="s">
        <v>1173</v>
      </c>
      <c r="D7" s="41">
        <f>SUM('Шаг 4. Издержки простоя, НП'!W35,'Шаг 4. Издержки простоя, НП'!AC35,'Шаг 4. Издержки простоя, НП'!W47,'Шаг 4. Издержки простоя, НП'!AC47,'Шаг 4. Издержки простоя, НП'!W59,'Шаг 4. Издержки простоя, НП'!AC59,'Шаг 4. Издержки простоя, НП'!W71,'Шаг 4. Издержки простоя, НП'!AC71,'Шаг 4. Издержки простоя, НП'!W83,'Шаг 4. Издержки простоя, НП'!AC83)</f>
        <v>0</v>
      </c>
      <c r="E7" s="41">
        <f>SUM('Шаг 4. Издержки простоя, НП'!X35,'Шаг 4. Издержки простоя, НП'!AD35,'Шаг 4. Издержки простоя, НП'!X47,'Шаг 4. Издержки простоя, НП'!AD47,'Шаг 4. Издержки простоя, НП'!X59,'Шаг 4. Издержки простоя, НП'!AD59,'Шаг 4. Издержки простоя, НП'!X71,'Шаг 4. Издержки простоя, НП'!AD71,'Шаг 4. Издержки простоя, НП'!X83,'Шаг 4. Издержки простоя, НП'!AD83)</f>
        <v>0</v>
      </c>
      <c r="F7" s="41">
        <f>SUM('Шаг 4. Издержки простоя, НП'!Y35,'Шаг 4. Издержки простоя, НП'!AE35,'Шаг 4. Издержки простоя, НП'!Y47,'Шаг 4. Издержки простоя, НП'!AE47,'Шаг 4. Издержки простоя, НП'!Y59,'Шаг 4. Издержки простоя, НП'!AE59,'Шаг 4. Издержки простоя, НП'!Y71,'Шаг 4. Издержки простоя, НП'!AE71,'Шаг 4. Издержки простоя, НП'!Y83,'Шаг 4. Издержки простоя, НП'!AE83)</f>
        <v>0</v>
      </c>
      <c r="G7" s="41">
        <f>SUM('Шаг 4. Издержки простоя, НП'!Z35,'Шаг 4. Издержки простоя, НП'!AF35,'Шаг 4. Издержки простоя, НП'!Z47,'Шаг 4. Издержки простоя, НП'!AF47,'Шаг 4. Издержки простоя, НП'!Z59,'Шаг 4. Издержки простоя, НП'!AF59,'Шаг 4. Издержки простоя, НП'!Z71,'Шаг 4. Издержки простоя, НП'!AF71,'Шаг 4. Издержки простоя, НП'!Z83,'Шаг 4. Издержки простоя, НП'!AF83)</f>
        <v>0</v>
      </c>
      <c r="H7" s="41">
        <f>SUM('Шаг 4. Издержки простоя, НП'!AA35,'Шаг 4. Издержки простоя, НП'!AG35,'Шаг 4. Издержки простоя, НП'!AA47,'Шаг 4. Издержки простоя, НП'!AG47,'Шаг 4. Издержки простоя, НП'!AA59,'Шаг 4. Издержки простоя, НП'!AG59,'Шаг 4. Издержки простоя, НП'!AA71,'Шаг 4. Издержки простоя, НП'!AG71,'Шаг 4. Издержки простоя, НП'!AA83,'Шаг 4. Издержки простоя, НП'!AG83)</f>
        <v>0</v>
      </c>
      <c r="I7" s="41">
        <f>SUM('Шаг 4. Издержки простоя, НП'!AB35,'Шаг 4. Издержки простоя, НП'!AH35,'Шаг 4. Издержки простоя, НП'!AB47,'Шаг 4. Издержки простоя, НП'!AH47,'Шаг 4. Издержки простоя, НП'!AB59,'Шаг 4. Издержки простоя, НП'!AH59,'Шаг 4. Издержки простоя, НП'!AB71,'Шаг 4. Издержки простоя, НП'!AH71,'Шаг 4. Издержки простоя, НП'!AB83,'Шаг 4. Издержки простоя, НП'!AH83)</f>
        <v>0</v>
      </c>
      <c r="J7" s="41">
        <f t="shared" si="0"/>
        <v>0</v>
      </c>
      <c r="K7" s="82" t="s">
        <v>0</v>
      </c>
      <c r="L7" s="12"/>
      <c r="M7" s="12"/>
    </row>
    <row r="8" spans="1:13" ht="40.15" customHeight="1" x14ac:dyDescent="0.25">
      <c r="A8" s="12"/>
      <c r="B8" s="87">
        <v>4</v>
      </c>
      <c r="C8" s="85" t="s">
        <v>1250</v>
      </c>
      <c r="D8" s="41">
        <f>SUM('Шаг 4. Издержки простоя, НП'!AI35,'Шаг 4. Издержки простоя, НП'!AI47,'Шаг 4. Издержки простоя, НП'!AI59,'Шаг 4. Издержки простоя, НП'!AI71,'Шаг 4. Издержки простоя, НП'!AI83)</f>
        <v>0</v>
      </c>
      <c r="E8" s="41">
        <f>SUM('Шаг 4. Издержки простоя, НП'!AJ35,'Шаг 4. Издержки простоя, НП'!AJ47,'Шаг 4. Издержки простоя, НП'!AJ59,'Шаг 4. Издержки простоя, НП'!AJ71,'Шаг 4. Издержки простоя, НП'!AJ83)</f>
        <v>0</v>
      </c>
      <c r="F8" s="41">
        <f>SUM('Шаг 4. Издержки простоя, НП'!AK35,'Шаг 4. Издержки простоя, НП'!AK47,'Шаг 4. Издержки простоя, НП'!AK59,'Шаг 4. Издержки простоя, НП'!AK71,'Шаг 4. Издержки простоя, НП'!AK83)</f>
        <v>0</v>
      </c>
      <c r="G8" s="41">
        <f>SUM('Шаг 4. Издержки простоя, НП'!AL35,'Шаг 4. Издержки простоя, НП'!AL47,'Шаг 4. Издержки простоя, НП'!AL59,'Шаг 4. Издержки простоя, НП'!AL71,'Шаг 4. Издержки простоя, НП'!AL83)</f>
        <v>0</v>
      </c>
      <c r="H8" s="41">
        <f>SUM('Шаг 4. Издержки простоя, НП'!AM35,'Шаг 4. Издержки простоя, НП'!AM47,'Шаг 4. Издержки простоя, НП'!AM59,'Шаг 4. Издержки простоя, НП'!AM71,'Шаг 4. Издержки простоя, НП'!AM83)</f>
        <v>0</v>
      </c>
      <c r="I8" s="41">
        <f>SUM('Шаг 4. Издержки простоя, НП'!AN35,'Шаг 4. Издержки простоя, НП'!AN47,'Шаг 4. Издержки простоя, НП'!AN59,'Шаг 4. Издержки простоя, НП'!AN71,'Шаг 4. Издержки простоя, НП'!AN83)</f>
        <v>0</v>
      </c>
      <c r="J8" s="41">
        <f t="shared" si="0"/>
        <v>0</v>
      </c>
      <c r="K8" s="82" t="s">
        <v>0</v>
      </c>
      <c r="L8" s="12"/>
      <c r="M8" s="12"/>
    </row>
    <row r="9" spans="1:13" ht="40.15" customHeight="1" x14ac:dyDescent="0.25">
      <c r="A9" s="12"/>
      <c r="B9" s="87">
        <v>5</v>
      </c>
      <c r="C9" s="85" t="s">
        <v>39</v>
      </c>
      <c r="D9" s="41">
        <f>SUM(D5:D7)</f>
        <v>405893.27877321228</v>
      </c>
      <c r="E9" s="41">
        <f t="shared" ref="E9:I9" si="1">SUM(E5:E7)</f>
        <v>459536.13449588005</v>
      </c>
      <c r="F9" s="41">
        <f t="shared" si="1"/>
        <v>506505.32280270389</v>
      </c>
      <c r="G9" s="41">
        <f t="shared" si="1"/>
        <v>548469.28879690787</v>
      </c>
      <c r="H9" s="41">
        <f t="shared" si="1"/>
        <v>593909.96937373187</v>
      </c>
      <c r="I9" s="41">
        <f t="shared" si="1"/>
        <v>643115.41033634555</v>
      </c>
      <c r="J9" s="41">
        <f t="shared" si="0"/>
        <v>3157429.4045787812</v>
      </c>
      <c r="K9" s="82" t="s">
        <v>0</v>
      </c>
      <c r="L9" s="12"/>
      <c r="M9" s="12"/>
    </row>
    <row r="10" spans="1:13" ht="40.15" customHeight="1" x14ac:dyDescent="0.25">
      <c r="A10" s="12"/>
      <c r="B10" s="87">
        <v>6</v>
      </c>
      <c r="C10" s="85" t="s">
        <v>36</v>
      </c>
      <c r="D10" s="83">
        <f>'Шаг 1. Основные исходные данные'!$E$9</f>
        <v>9.8000000000000007</v>
      </c>
      <c r="E10" s="83">
        <f>'Шаг 1. Основные исходные данные'!$E$9</f>
        <v>9.8000000000000007</v>
      </c>
      <c r="F10" s="83">
        <f>'Шаг 1. Основные исходные данные'!$E$9</f>
        <v>9.8000000000000007</v>
      </c>
      <c r="G10" s="83">
        <f>'Шаг 1. Основные исходные данные'!$E$9</f>
        <v>9.8000000000000007</v>
      </c>
      <c r="H10" s="83">
        <f>'Шаг 1. Основные исходные данные'!$E$9</f>
        <v>9.8000000000000007</v>
      </c>
      <c r="I10" s="83">
        <f>'Шаг 1. Основные исходные данные'!$E$9</f>
        <v>9.8000000000000007</v>
      </c>
      <c r="J10" s="83" t="s">
        <v>73</v>
      </c>
      <c r="K10" s="82" t="s">
        <v>35</v>
      </c>
      <c r="L10" s="12"/>
      <c r="M10" s="12"/>
    </row>
    <row r="11" spans="1:13" ht="40.15" customHeight="1" x14ac:dyDescent="0.25">
      <c r="A11" s="12"/>
      <c r="B11" s="87">
        <v>7</v>
      </c>
      <c r="C11" s="85" t="s">
        <v>98</v>
      </c>
      <c r="D11" s="83">
        <f>IF(D4="-",0,(1+$D$10/100)^(VALUE(LEFT(D4,1))-1))</f>
        <v>1</v>
      </c>
      <c r="E11" s="83">
        <f t="shared" ref="E11:I11" si="2">IF(E4="-",0,(1+$D$10/100)^(VALUE(LEFT(E4,1))-1))</f>
        <v>1.0980000000000001</v>
      </c>
      <c r="F11" s="83">
        <f t="shared" si="2"/>
        <v>1.2056040000000001</v>
      </c>
      <c r="G11" s="83">
        <f t="shared" si="2"/>
        <v>1.3237531920000003</v>
      </c>
      <c r="H11" s="83">
        <f t="shared" si="2"/>
        <v>1.4534810048160003</v>
      </c>
      <c r="I11" s="83">
        <f t="shared" si="2"/>
        <v>1.5959221432879684</v>
      </c>
      <c r="J11" s="83" t="s">
        <v>73</v>
      </c>
      <c r="K11" s="82" t="s">
        <v>73</v>
      </c>
      <c r="L11" s="12"/>
      <c r="M11" s="12"/>
    </row>
    <row r="12" spans="1:13" ht="40.15" customHeight="1" x14ac:dyDescent="0.25">
      <c r="A12" s="12"/>
      <c r="B12" s="34">
        <v>8</v>
      </c>
      <c r="C12" s="86" t="s">
        <v>40</v>
      </c>
      <c r="D12" s="42">
        <f>SUM(D5:D7)*D11*(1-C30)*(D10/100)</f>
        <v>39777.541319774806</v>
      </c>
      <c r="E12" s="42">
        <f>SUM(E5:E7,D8)*E11*(1-D30)*(E10/100)</f>
        <v>49447.926216294683</v>
      </c>
      <c r="F12" s="42">
        <f>SUM(F5:F7,E8)*F11*(1-E30)*(F10/100)</f>
        <v>59843.19463283864</v>
      </c>
      <c r="G12" s="42">
        <f>SUM(G5:G7,F8)*G11*(1-F30)*(G10/100)</f>
        <v>71151.721232369935</v>
      </c>
      <c r="H12" s="42">
        <f>SUM(H5:H7,G8)*H11*(1-G30)*(H10/100)</f>
        <v>84597.212187446028</v>
      </c>
      <c r="I12" s="42">
        <f>SUM(I5:I7,H8)*I11*(1-H30)*(I10/100)</f>
        <v>100583.48815645919</v>
      </c>
      <c r="J12" s="42">
        <f>SUM(D12:I12)</f>
        <v>405401.08374518325</v>
      </c>
      <c r="K12" s="84" t="s">
        <v>0</v>
      </c>
      <c r="L12" s="12"/>
      <c r="M12" s="12"/>
    </row>
    <row r="13" spans="1:13" x14ac:dyDescent="0.25">
      <c r="A13" s="12"/>
      <c r="B13" s="12"/>
      <c r="C13" s="12"/>
      <c r="D13" s="12"/>
      <c r="E13" s="12"/>
      <c r="F13" s="12"/>
      <c r="G13" s="12"/>
      <c r="H13" s="12"/>
      <c r="I13" s="12"/>
      <c r="J13" s="12"/>
      <c r="K13" s="12"/>
      <c r="L13" s="12"/>
      <c r="M13" s="12"/>
    </row>
    <row r="14" spans="1:13" x14ac:dyDescent="0.25">
      <c r="A14" s="12"/>
      <c r="B14" s="12"/>
      <c r="C14" s="12"/>
      <c r="D14" s="12"/>
      <c r="E14" s="12"/>
      <c r="F14" s="12"/>
      <c r="G14" s="12"/>
      <c r="H14" s="12"/>
      <c r="I14" s="12"/>
      <c r="J14" s="12"/>
      <c r="K14" s="12"/>
      <c r="L14" s="12"/>
      <c r="M14" s="12"/>
    </row>
    <row r="16" spans="1:13" s="270" customFormat="1" hidden="1" x14ac:dyDescent="0.25">
      <c r="B16" s="270" t="s">
        <v>1251</v>
      </c>
    </row>
    <row r="17" spans="1:10" s="270" customFormat="1" hidden="1" x14ac:dyDescent="0.25">
      <c r="B17" s="270" t="s">
        <v>1252</v>
      </c>
      <c r="C17" s="270" t="s">
        <v>1253</v>
      </c>
    </row>
    <row r="18" spans="1:10" s="270" customFormat="1" hidden="1" x14ac:dyDescent="0.25">
      <c r="C18" s="270" t="s">
        <v>1254</v>
      </c>
      <c r="D18" s="270" t="s">
        <v>1255</v>
      </c>
      <c r="E18" s="270" t="s">
        <v>1256</v>
      </c>
      <c r="F18" s="270" t="s">
        <v>1257</v>
      </c>
      <c r="G18" s="270" t="s">
        <v>1258</v>
      </c>
      <c r="H18" s="270" t="s">
        <v>1259</v>
      </c>
      <c r="I18" s="270" t="s">
        <v>1260</v>
      </c>
      <c r="J18" s="270" t="s">
        <v>1261</v>
      </c>
    </row>
    <row r="19" spans="1:10" s="270" customFormat="1" hidden="1" x14ac:dyDescent="0.25">
      <c r="A19" s="270">
        <v>1</v>
      </c>
      <c r="B19" s="270" t="str">
        <f>'Шаг 4. Издержки простоя, НП'!C19</f>
        <v/>
      </c>
      <c r="C19" s="270">
        <f>SUMPRODUCT('Шаг 4. Издержки простоя, НП'!$H$30:$H$34,'Шаг 4. Издержки простоя, НП'!J30:J34)</f>
        <v>0</v>
      </c>
      <c r="D19" s="270">
        <f>SUMPRODUCT('Шаг 4. Издержки простоя, НП'!$H$30:$H$34,'Шаг 4. Издержки простоя, НП'!K30:K34)</f>
        <v>0</v>
      </c>
      <c r="E19" s="270">
        <f>SUMPRODUCT('Шаг 4. Издержки простоя, НП'!$H$30:$H$34,'Шаг 4. Издержки простоя, НП'!L30:L34)</f>
        <v>0</v>
      </c>
      <c r="F19" s="270">
        <f>SUMPRODUCT('Шаг 4. Издержки простоя, НП'!$H$30:$H$34,'Шаг 4. Издержки простоя, НП'!M30:M34)</f>
        <v>0</v>
      </c>
      <c r="G19" s="270">
        <f>SUMPRODUCT('Шаг 4. Издержки простоя, НП'!$H$30:$H$34,'Шаг 4. Издержки простоя, НП'!N30:N34)</f>
        <v>0</v>
      </c>
      <c r="H19" s="270">
        <f>SUMPRODUCT('Шаг 4. Издержки простоя, НП'!$H$30:$H$34,'Шаг 4. Издержки простоя, НП'!O30:O34)</f>
        <v>0</v>
      </c>
      <c r="I19" s="270">
        <f>'Шаг 4. Издержки простоя, НП'!F19</f>
        <v>0</v>
      </c>
      <c r="J19" s="270">
        <f>8*'Шаг 1. Основные исходные данные'!$E$10</f>
        <v>1976</v>
      </c>
    </row>
    <row r="20" spans="1:10" s="270" customFormat="1" hidden="1" x14ac:dyDescent="0.25">
      <c r="A20" s="270">
        <v>2</v>
      </c>
      <c r="B20" s="270" t="str">
        <f>'Шаг 4. Издержки простоя, НП'!C20</f>
        <v/>
      </c>
      <c r="C20" s="270">
        <f>SUMPRODUCT('Шаг 4. Издержки простоя, НП'!$H$42:$H$46,'Шаг 4. Издержки простоя, НП'!J42:J46)</f>
        <v>0</v>
      </c>
      <c r="D20" s="270">
        <f>SUMPRODUCT('Шаг 4. Издержки простоя, НП'!$H$42:$H$46,'Шаг 4. Издержки простоя, НП'!K42:K46)</f>
        <v>0</v>
      </c>
      <c r="E20" s="270">
        <f>SUMPRODUCT('Шаг 4. Издержки простоя, НП'!$H$42:$H$46,'Шаг 4. Издержки простоя, НП'!L42:L46)</f>
        <v>0</v>
      </c>
      <c r="F20" s="270">
        <f>SUMPRODUCT('Шаг 4. Издержки простоя, НП'!$H$42:$H$46,'Шаг 4. Издержки простоя, НП'!M42:M46)</f>
        <v>0</v>
      </c>
      <c r="G20" s="270">
        <f>SUMPRODUCT('Шаг 4. Издержки простоя, НП'!$H$42:$H$46,'Шаг 4. Издержки простоя, НП'!N42:N46)</f>
        <v>0</v>
      </c>
      <c r="H20" s="270">
        <f>SUMPRODUCT('Шаг 4. Издержки простоя, НП'!$H$42:$H$46,'Шаг 4. Издержки простоя, НП'!O42:O46)</f>
        <v>0</v>
      </c>
      <c r="I20" s="270">
        <f>'Шаг 4. Издержки простоя, НП'!F20</f>
        <v>0</v>
      </c>
      <c r="J20" s="270">
        <f>8*'Шаг 1. Основные исходные данные'!$E$10</f>
        <v>1976</v>
      </c>
    </row>
    <row r="21" spans="1:10" s="270" customFormat="1" hidden="1" x14ac:dyDescent="0.25">
      <c r="A21" s="270">
        <v>3</v>
      </c>
      <c r="B21" s="270" t="str">
        <f>'Шаг 4. Издержки простоя, НП'!C21</f>
        <v/>
      </c>
      <c r="C21" s="270">
        <f>SUMPRODUCT('Шаг 4. Издержки простоя, НП'!$H$54:$H$58,'Шаг 4. Издержки простоя, НП'!J54:J58)</f>
        <v>0</v>
      </c>
      <c r="D21" s="270">
        <f>SUMPRODUCT('Шаг 4. Издержки простоя, НП'!$H$54:$H$58,'Шаг 4. Издержки простоя, НП'!K54:K58)</f>
        <v>0</v>
      </c>
      <c r="E21" s="270">
        <f>SUMPRODUCT('Шаг 4. Издержки простоя, НП'!$H$54:$H$58,'Шаг 4. Издержки простоя, НП'!L54:L58)</f>
        <v>0</v>
      </c>
      <c r="F21" s="270">
        <f>SUMPRODUCT('Шаг 4. Издержки простоя, НП'!$H$54:$H$58,'Шаг 4. Издержки простоя, НП'!M54:M58)</f>
        <v>0</v>
      </c>
      <c r="G21" s="270">
        <f>SUMPRODUCT('Шаг 4. Издержки простоя, НП'!$H$54:$H$58,'Шаг 4. Издержки простоя, НП'!N54:N58)</f>
        <v>0</v>
      </c>
      <c r="H21" s="270">
        <f>SUMPRODUCT('Шаг 4. Издержки простоя, НП'!$H$54:$H$58,'Шаг 4. Издержки простоя, НП'!O54:O58)</f>
        <v>0</v>
      </c>
      <c r="I21" s="270">
        <f>'Шаг 4. Издержки простоя, НП'!F21</f>
        <v>0</v>
      </c>
      <c r="J21" s="270">
        <f>8*'Шаг 1. Основные исходные данные'!$E$10</f>
        <v>1976</v>
      </c>
    </row>
    <row r="22" spans="1:10" s="270" customFormat="1" hidden="1" x14ac:dyDescent="0.25">
      <c r="A22" s="270">
        <v>4</v>
      </c>
      <c r="B22" s="270" t="str">
        <f>'Шаг 4. Издержки простоя, НП'!C22</f>
        <v/>
      </c>
      <c r="C22" s="270">
        <f>SUMPRODUCT('Шаг 4. Издержки простоя, НП'!$H$66:$H$70,'Шаг 4. Издержки простоя, НП'!J66:J70)</f>
        <v>0</v>
      </c>
      <c r="D22" s="270">
        <f>SUMPRODUCT('Шаг 4. Издержки простоя, НП'!$H$66:$H$70,'Шаг 4. Издержки простоя, НП'!K66:K70)</f>
        <v>0</v>
      </c>
      <c r="E22" s="270">
        <f>SUMPRODUCT('Шаг 4. Издержки простоя, НП'!$H$66:$H$70,'Шаг 4. Издержки простоя, НП'!L66:L70)</f>
        <v>0</v>
      </c>
      <c r="F22" s="270">
        <f>SUMPRODUCT('Шаг 4. Издержки простоя, НП'!$H$66:$H$70,'Шаг 4. Издержки простоя, НП'!M66:M70)</f>
        <v>0</v>
      </c>
      <c r="G22" s="270">
        <f>SUMPRODUCT('Шаг 4. Издержки простоя, НП'!$H$66:$H$70,'Шаг 4. Издержки простоя, НП'!N66:N70)</f>
        <v>0</v>
      </c>
      <c r="H22" s="270">
        <f>SUMPRODUCT('Шаг 4. Издержки простоя, НП'!$H$66:$H$70,'Шаг 4. Издержки простоя, НП'!O66:O70)</f>
        <v>0</v>
      </c>
      <c r="I22" s="270">
        <f>'Шаг 4. Издержки простоя, НП'!F22</f>
        <v>0</v>
      </c>
      <c r="J22" s="270">
        <f>8*'Шаг 1. Основные исходные данные'!$E$10</f>
        <v>1976</v>
      </c>
    </row>
    <row r="23" spans="1:10" s="270" customFormat="1" hidden="1" x14ac:dyDescent="0.25">
      <c r="A23" s="270">
        <v>5</v>
      </c>
      <c r="B23" s="270" t="str">
        <f>'Шаг 4. Издержки простоя, НП'!C23</f>
        <v/>
      </c>
      <c r="C23" s="270">
        <f>SUMPRODUCT('Шаг 4. Издержки простоя, НП'!$H$78:$H$82,'Шаг 4. Издержки простоя, НП'!J78:J82)</f>
        <v>0</v>
      </c>
      <c r="D23" s="270">
        <f>SUMPRODUCT('Шаг 4. Издержки простоя, НП'!$H$78:$H$82,'Шаг 4. Издержки простоя, НП'!K78:K82)</f>
        <v>0</v>
      </c>
      <c r="E23" s="270">
        <f>SUMPRODUCT('Шаг 4. Издержки простоя, НП'!$H$78:$H$82,'Шаг 4. Издержки простоя, НП'!L78:L82)</f>
        <v>0</v>
      </c>
      <c r="F23" s="270">
        <f>SUMPRODUCT('Шаг 4. Издержки простоя, НП'!$H$78:$H$82,'Шаг 4. Издержки простоя, НП'!M78:M82)</f>
        <v>0</v>
      </c>
      <c r="G23" s="270">
        <f>SUMPRODUCT('Шаг 4. Издержки простоя, НП'!$H$78:$H$82,'Шаг 4. Издержки простоя, НП'!N78:N82)</f>
        <v>0</v>
      </c>
      <c r="H23" s="270">
        <f>SUMPRODUCT('Шаг 4. Издержки простоя, НП'!$H$78:$H$82,'Шаг 4. Издержки простоя, НП'!O78:O82)</f>
        <v>0</v>
      </c>
      <c r="I23" s="270">
        <f>'Шаг 4. Издержки простоя, НП'!F23</f>
        <v>0</v>
      </c>
      <c r="J23" s="270">
        <f>8*'Шаг 1. Основные исходные данные'!$E$10</f>
        <v>1976</v>
      </c>
    </row>
    <row r="24" spans="1:10" s="270" customFormat="1" hidden="1" x14ac:dyDescent="0.25">
      <c r="A24" s="293" t="s">
        <v>1263</v>
      </c>
      <c r="B24" s="293"/>
      <c r="C24" s="270" t="s">
        <v>1251</v>
      </c>
      <c r="D24" s="293"/>
      <c r="E24" s="293"/>
      <c r="F24" s="293"/>
      <c r="G24" s="293"/>
      <c r="H24" s="293"/>
      <c r="I24" s="293"/>
      <c r="J24" s="293"/>
    </row>
    <row r="25" spans="1:10" s="270" customFormat="1" hidden="1" x14ac:dyDescent="0.25">
      <c r="A25" s="270">
        <f>A19</f>
        <v>1</v>
      </c>
      <c r="B25" s="270" t="str">
        <f>B19</f>
        <v/>
      </c>
      <c r="C25" s="270">
        <f>C19*$I19</f>
        <v>0</v>
      </c>
      <c r="D25" s="270">
        <f t="shared" ref="D25:H29" si="3">D19*$I19</f>
        <v>0</v>
      </c>
      <c r="E25" s="270">
        <f t="shared" si="3"/>
        <v>0</v>
      </c>
      <c r="F25" s="270">
        <f t="shared" si="3"/>
        <v>0</v>
      </c>
      <c r="G25" s="270">
        <f t="shared" si="3"/>
        <v>0</v>
      </c>
      <c r="H25" s="270">
        <f t="shared" si="3"/>
        <v>0</v>
      </c>
      <c r="J25" s="270">
        <f>J19*I19</f>
        <v>0</v>
      </c>
    </row>
    <row r="26" spans="1:10" s="270" customFormat="1" hidden="1" x14ac:dyDescent="0.25">
      <c r="A26" s="270">
        <f t="shared" ref="A26:B26" si="4">A20</f>
        <v>2</v>
      </c>
      <c r="B26" s="270" t="str">
        <f t="shared" si="4"/>
        <v/>
      </c>
      <c r="C26" s="270">
        <f>C20*$I20</f>
        <v>0</v>
      </c>
      <c r="D26" s="270">
        <f t="shared" si="3"/>
        <v>0</v>
      </c>
      <c r="E26" s="270">
        <f t="shared" si="3"/>
        <v>0</v>
      </c>
      <c r="F26" s="270">
        <f t="shared" si="3"/>
        <v>0</v>
      </c>
      <c r="G26" s="270">
        <f t="shared" si="3"/>
        <v>0</v>
      </c>
      <c r="H26" s="270">
        <f t="shared" si="3"/>
        <v>0</v>
      </c>
      <c r="J26" s="270">
        <f>J20*I20</f>
        <v>0</v>
      </c>
    </row>
    <row r="27" spans="1:10" s="270" customFormat="1" hidden="1" x14ac:dyDescent="0.25">
      <c r="A27" s="270">
        <f t="shared" ref="A27:B27" si="5">A21</f>
        <v>3</v>
      </c>
      <c r="B27" s="270" t="str">
        <f t="shared" si="5"/>
        <v/>
      </c>
      <c r="C27" s="270">
        <f>C21*$I21</f>
        <v>0</v>
      </c>
      <c r="D27" s="270">
        <f t="shared" si="3"/>
        <v>0</v>
      </c>
      <c r="E27" s="270">
        <f t="shared" si="3"/>
        <v>0</v>
      </c>
      <c r="F27" s="270">
        <f t="shared" si="3"/>
        <v>0</v>
      </c>
      <c r="G27" s="270">
        <f t="shared" si="3"/>
        <v>0</v>
      </c>
      <c r="H27" s="270">
        <f t="shared" si="3"/>
        <v>0</v>
      </c>
      <c r="J27" s="270">
        <f>J21*I21</f>
        <v>0</v>
      </c>
    </row>
    <row r="28" spans="1:10" s="270" customFormat="1" hidden="1" x14ac:dyDescent="0.25">
      <c r="A28" s="270">
        <f t="shared" ref="A28:B28" si="6">A22</f>
        <v>4</v>
      </c>
      <c r="B28" s="270" t="str">
        <f t="shared" si="6"/>
        <v/>
      </c>
      <c r="C28" s="270">
        <f>C22*$I22</f>
        <v>0</v>
      </c>
      <c r="D28" s="270">
        <f t="shared" si="3"/>
        <v>0</v>
      </c>
      <c r="E28" s="270">
        <f t="shared" si="3"/>
        <v>0</v>
      </c>
      <c r="F28" s="270">
        <f t="shared" si="3"/>
        <v>0</v>
      </c>
      <c r="G28" s="270">
        <f t="shared" si="3"/>
        <v>0</v>
      </c>
      <c r="H28" s="270">
        <f t="shared" si="3"/>
        <v>0</v>
      </c>
      <c r="J28" s="270">
        <f>J22*I22</f>
        <v>0</v>
      </c>
    </row>
    <row r="29" spans="1:10" s="270" customFormat="1" hidden="1" x14ac:dyDescent="0.25">
      <c r="A29" s="270">
        <f t="shared" ref="A29:B29" si="7">A23</f>
        <v>5</v>
      </c>
      <c r="B29" s="270" t="str">
        <f t="shared" si="7"/>
        <v/>
      </c>
      <c r="C29" s="270">
        <f>C23*$I23</f>
        <v>0</v>
      </c>
      <c r="D29" s="270">
        <f t="shared" si="3"/>
        <v>0</v>
      </c>
      <c r="E29" s="270">
        <f t="shared" si="3"/>
        <v>0</v>
      </c>
      <c r="F29" s="270">
        <f t="shared" si="3"/>
        <v>0</v>
      </c>
      <c r="G29" s="270">
        <f t="shared" si="3"/>
        <v>0</v>
      </c>
      <c r="H29" s="270">
        <f t="shared" si="3"/>
        <v>0</v>
      </c>
      <c r="J29" s="270">
        <f>J23*I23</f>
        <v>0</v>
      </c>
    </row>
    <row r="30" spans="1:10" s="270" customFormat="1" hidden="1" x14ac:dyDescent="0.25">
      <c r="B30" s="293" t="s">
        <v>1262</v>
      </c>
      <c r="C30" s="293">
        <f t="shared" ref="C30:H30" si="8">IFERROR(SUM(C25:C29)/SUM($J$25:$J$29),0)</f>
        <v>0</v>
      </c>
      <c r="D30" s="293">
        <f t="shared" si="8"/>
        <v>0</v>
      </c>
      <c r="E30" s="293">
        <f t="shared" si="8"/>
        <v>0</v>
      </c>
      <c r="F30" s="293">
        <f t="shared" si="8"/>
        <v>0</v>
      </c>
      <c r="G30" s="293">
        <f t="shared" si="8"/>
        <v>0</v>
      </c>
      <c r="H30" s="293">
        <f t="shared" si="8"/>
        <v>0</v>
      </c>
    </row>
  </sheetData>
  <pageMargins left="0.7" right="0.7" top="0.75" bottom="0.75" header="0.3" footer="0.3"/>
  <pageSetup paperSize="9" scale="3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11"/>
  <sheetViews>
    <sheetView workbookViewId="0">
      <selection activeCell="I3" sqref="I3"/>
    </sheetView>
  </sheetViews>
  <sheetFormatPr defaultRowHeight="15" x14ac:dyDescent="0.25"/>
  <sheetData>
    <row r="1" spans="1:10" x14ac:dyDescent="0.25">
      <c r="A1" t="s">
        <v>50</v>
      </c>
      <c r="B1" t="s">
        <v>53</v>
      </c>
      <c r="C1" t="s">
        <v>56</v>
      </c>
      <c r="D1" t="s">
        <v>65</v>
      </c>
      <c r="E1" t="s">
        <v>70</v>
      </c>
      <c r="F1" t="s">
        <v>76</v>
      </c>
      <c r="G1" t="s">
        <v>81</v>
      </c>
      <c r="H1" t="s">
        <v>82</v>
      </c>
      <c r="I1" t="s">
        <v>1160</v>
      </c>
      <c r="J1" t="s">
        <v>1163</v>
      </c>
    </row>
    <row r="2" spans="1:10" x14ac:dyDescent="0.25">
      <c r="A2" t="s">
        <v>51</v>
      </c>
      <c r="B2">
        <v>1</v>
      </c>
      <c r="C2" t="s">
        <v>0</v>
      </c>
      <c r="D2" t="s">
        <v>1181</v>
      </c>
      <c r="E2">
        <f>1/8/'Шаг 1. Основные исходные данные'!$E$10*12/60</f>
        <v>1.0121457489878542E-4</v>
      </c>
      <c r="F2" t="s">
        <v>77</v>
      </c>
      <c r="G2" t="s">
        <v>0</v>
      </c>
      <c r="H2">
        <v>1</v>
      </c>
      <c r="I2" t="s">
        <v>1270</v>
      </c>
      <c r="J2" t="s">
        <v>1164</v>
      </c>
    </row>
    <row r="3" spans="1:10" x14ac:dyDescent="0.25">
      <c r="A3" t="s">
        <v>52</v>
      </c>
      <c r="B3">
        <v>2</v>
      </c>
      <c r="C3" t="s">
        <v>59</v>
      </c>
      <c r="D3" t="s">
        <v>69</v>
      </c>
      <c r="E3">
        <f>1/8/'Шаг 1. Основные исходные данные'!$E$10*12</f>
        <v>6.0728744939271256E-3</v>
      </c>
      <c r="F3" t="s">
        <v>78</v>
      </c>
      <c r="G3" t="s">
        <v>59</v>
      </c>
      <c r="H3">
        <f>1/1000</f>
        <v>1E-3</v>
      </c>
      <c r="I3" t="s">
        <v>1161</v>
      </c>
      <c r="J3" t="s">
        <v>1165</v>
      </c>
    </row>
    <row r="4" spans="1:10" x14ac:dyDescent="0.25">
      <c r="B4">
        <v>3</v>
      </c>
      <c r="C4" t="s">
        <v>60</v>
      </c>
      <c r="D4" t="s">
        <v>66</v>
      </c>
      <c r="E4">
        <f>1/'Шаг 1. Основные исходные данные'!$E$10*12</f>
        <v>4.8582995951417005E-2</v>
      </c>
      <c r="G4" t="s">
        <v>60</v>
      </c>
      <c r="H4">
        <f>1/1000000</f>
        <v>9.9999999999999995E-7</v>
      </c>
      <c r="I4" t="s">
        <v>1162</v>
      </c>
    </row>
    <row r="5" spans="1:10" x14ac:dyDescent="0.25">
      <c r="B5">
        <v>4</v>
      </c>
      <c r="C5" t="s">
        <v>57</v>
      </c>
      <c r="D5" t="s">
        <v>67</v>
      </c>
      <c r="E5">
        <v>1</v>
      </c>
    </row>
    <row r="6" spans="1:10" x14ac:dyDescent="0.25">
      <c r="B6">
        <v>5</v>
      </c>
      <c r="C6" t="s">
        <v>58</v>
      </c>
      <c r="D6" t="s">
        <v>68</v>
      </c>
      <c r="E6">
        <v>12</v>
      </c>
    </row>
    <row r="7" spans="1:10" x14ac:dyDescent="0.25">
      <c r="B7">
        <v>6</v>
      </c>
      <c r="C7" t="s">
        <v>14</v>
      </c>
    </row>
    <row r="8" spans="1:10" x14ac:dyDescent="0.25">
      <c r="B8">
        <v>7</v>
      </c>
      <c r="C8" t="s">
        <v>45</v>
      </c>
    </row>
    <row r="9" spans="1:10" x14ac:dyDescent="0.25">
      <c r="B9">
        <v>8</v>
      </c>
      <c r="C9" t="s">
        <v>61</v>
      </c>
    </row>
    <row r="10" spans="1:10" x14ac:dyDescent="0.25">
      <c r="B10">
        <v>9</v>
      </c>
      <c r="C10" t="s">
        <v>24</v>
      </c>
    </row>
    <row r="11" spans="1:10" x14ac:dyDescent="0.25">
      <c r="B11">
        <v>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O5"/>
  <sheetViews>
    <sheetView tabSelected="1" topLeftCell="B1" zoomScale="55" zoomScaleNormal="55" workbookViewId="0">
      <selection activeCell="B9" sqref="B9"/>
    </sheetView>
  </sheetViews>
  <sheetFormatPr defaultRowHeight="15" x14ac:dyDescent="0.25"/>
  <cols>
    <col min="2" max="2" width="59" customWidth="1"/>
    <col min="3" max="3" width="20.85546875" customWidth="1"/>
    <col min="4" max="4" width="19.7109375" customWidth="1"/>
    <col min="5" max="5" width="15.85546875" customWidth="1"/>
    <col min="6" max="6" width="21.140625" customWidth="1"/>
    <col min="7" max="7" width="16.42578125" customWidth="1"/>
    <col min="8" max="8" width="17.42578125" customWidth="1"/>
    <col min="9" max="9" width="18.42578125" customWidth="1"/>
    <col min="10" max="10" width="17.140625" customWidth="1"/>
    <col min="11" max="11" width="18.85546875" customWidth="1"/>
    <col min="12" max="13" width="15" customWidth="1"/>
    <col min="14" max="15" width="15.5703125" customWidth="1"/>
  </cols>
  <sheetData>
    <row r="1" spans="1:15" ht="63.75" customHeight="1" x14ac:dyDescent="0.25">
      <c r="A1" s="368" t="s">
        <v>1289</v>
      </c>
      <c r="B1" s="368" t="s">
        <v>1290</v>
      </c>
      <c r="C1" s="368" t="s">
        <v>1294</v>
      </c>
      <c r="D1" s="368" t="s">
        <v>116</v>
      </c>
      <c r="E1" s="368"/>
      <c r="F1" s="368" t="s">
        <v>117</v>
      </c>
      <c r="G1" s="368"/>
      <c r="H1" s="368" t="s">
        <v>1185</v>
      </c>
      <c r="I1" s="368" t="s">
        <v>1186</v>
      </c>
      <c r="J1" s="368" t="s">
        <v>1264</v>
      </c>
      <c r="K1" s="368"/>
      <c r="L1" s="368" t="s">
        <v>1188</v>
      </c>
      <c r="M1" s="368"/>
      <c r="N1" s="368" t="s">
        <v>1274</v>
      </c>
      <c r="O1" s="368"/>
    </row>
    <row r="2" spans="1:15" ht="126" x14ac:dyDescent="0.25">
      <c r="A2" s="368"/>
      <c r="B2" s="368"/>
      <c r="C2" s="368"/>
      <c r="D2" s="266" t="s">
        <v>1190</v>
      </c>
      <c r="E2" s="266" t="s">
        <v>1191</v>
      </c>
      <c r="F2" s="266" t="s">
        <v>1190</v>
      </c>
      <c r="G2" s="266" t="s">
        <v>1191</v>
      </c>
      <c r="H2" s="368"/>
      <c r="I2" s="368"/>
      <c r="J2" s="266" t="s">
        <v>1192</v>
      </c>
      <c r="K2" s="266" t="s">
        <v>1275</v>
      </c>
      <c r="L2" s="266" t="s">
        <v>1268</v>
      </c>
      <c r="M2" s="266" t="s">
        <v>1265</v>
      </c>
      <c r="N2" s="266" t="s">
        <v>1268</v>
      </c>
      <c r="O2" s="266" t="s">
        <v>1266</v>
      </c>
    </row>
    <row r="3" spans="1:15" ht="15.75" x14ac:dyDescent="0.25">
      <c r="A3" s="266" t="s">
        <v>1197</v>
      </c>
      <c r="B3" s="266" t="s">
        <v>1198</v>
      </c>
      <c r="C3" s="266" t="s">
        <v>1199</v>
      </c>
      <c r="D3" s="266" t="s">
        <v>1200</v>
      </c>
      <c r="E3" s="266" t="s">
        <v>1201</v>
      </c>
      <c r="F3" s="266" t="s">
        <v>1202</v>
      </c>
      <c r="G3" s="266" t="s">
        <v>1203</v>
      </c>
      <c r="H3" s="266" t="s">
        <v>1204</v>
      </c>
      <c r="I3" s="266" t="s">
        <v>1205</v>
      </c>
      <c r="J3" s="266" t="s">
        <v>1206</v>
      </c>
      <c r="K3" s="266" t="s">
        <v>1207</v>
      </c>
      <c r="L3" s="266" t="s">
        <v>1208</v>
      </c>
      <c r="M3" s="266" t="s">
        <v>1209</v>
      </c>
      <c r="N3" s="266" t="s">
        <v>1210</v>
      </c>
      <c r="O3" s="266" t="s">
        <v>1211</v>
      </c>
    </row>
    <row r="4" spans="1:15" ht="343.5" customHeight="1" x14ac:dyDescent="0.25">
      <c r="A4" s="266">
        <v>1</v>
      </c>
      <c r="B4" s="305" t="s">
        <v>1320</v>
      </c>
      <c r="C4" s="305">
        <v>22</v>
      </c>
      <c r="D4" s="306">
        <f>'Шаг 2. Информационные'!E6</f>
        <v>3157429.4045787812</v>
      </c>
      <c r="E4" s="306">
        <f>'Шаг 2. Информационные'!E7</f>
        <v>0</v>
      </c>
      <c r="F4" s="306">
        <f>'Шаг 3. Содержательные'!E6</f>
        <v>0</v>
      </c>
      <c r="G4" s="306">
        <f>'Шаг 3. Содержательные'!E7</f>
        <v>0</v>
      </c>
      <c r="H4" s="306">
        <f>'Шаг 4. Издержки простоя, НП'!E11+'Шаг 4. Издержки простоя, НП'!F11</f>
        <v>0</v>
      </c>
      <c r="I4" s="306">
        <f>'Шаг 5. Альтернативные'!J12</f>
        <v>405401.08374518325</v>
      </c>
      <c r="J4" s="306">
        <f>SUM('Шаг 5. Альтернативные'!D5:D8)</f>
        <v>405893.27877321228</v>
      </c>
      <c r="K4" s="306">
        <f>SUM(D4:H4)</f>
        <v>3157429.4045787812</v>
      </c>
      <c r="L4" s="305"/>
      <c r="M4" s="305"/>
      <c r="N4" s="305"/>
      <c r="O4" s="305"/>
    </row>
    <row r="5" spans="1:15" ht="15.75" x14ac:dyDescent="0.25">
      <c r="A5" s="366" t="s">
        <v>1267</v>
      </c>
      <c r="B5" s="366"/>
      <c r="C5" s="366"/>
      <c r="D5" s="367"/>
      <c r="E5" s="367"/>
      <c r="F5" s="367"/>
      <c r="G5" s="367"/>
      <c r="H5" s="367"/>
      <c r="I5" s="367"/>
      <c r="J5" s="367"/>
      <c r="K5" s="367"/>
      <c r="L5" s="368" t="s">
        <v>73</v>
      </c>
      <c r="M5" s="368"/>
      <c r="N5" s="368"/>
      <c r="O5" s="368"/>
    </row>
  </sheetData>
  <mergeCells count="13">
    <mergeCell ref="A5:C5"/>
    <mergeCell ref="D5:K5"/>
    <mergeCell ref="L5:O5"/>
    <mergeCell ref="I1:I2"/>
    <mergeCell ref="A1:A2"/>
    <mergeCell ref="L1:M1"/>
    <mergeCell ref="N1:O1"/>
    <mergeCell ref="B1:B2"/>
    <mergeCell ref="C1:C2"/>
    <mergeCell ref="D1:E1"/>
    <mergeCell ref="F1:G1"/>
    <mergeCell ref="H1:H2"/>
    <mergeCell ref="J1:K1"/>
  </mergeCells>
  <pageMargins left="0.7" right="0.7" top="0.75" bottom="0.75" header="0.3" footer="0.3"/>
  <pageSetup paperSize="9" scale="2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Dict!$A$2:$A$3</xm:f>
          </x14:formula1>
          <xm:sqref>L4 N4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pageSetUpPr fitToPage="1"/>
  </sheetPr>
  <dimension ref="A1:U44"/>
  <sheetViews>
    <sheetView topLeftCell="A22" workbookViewId="0">
      <selection activeCell="D14" sqref="D14"/>
    </sheetView>
  </sheetViews>
  <sheetFormatPr defaultRowHeight="15" x14ac:dyDescent="0.25"/>
  <cols>
    <col min="2" max="2" width="38.28515625" customWidth="1"/>
    <col min="3" max="3" width="16.5703125" customWidth="1"/>
    <col min="4" max="4" width="15" customWidth="1"/>
    <col min="5" max="5" width="77.28515625" customWidth="1"/>
  </cols>
  <sheetData>
    <row r="1" spans="1:21" ht="35.450000000000003" customHeight="1" x14ac:dyDescent="0.25">
      <c r="A1" s="372" t="s">
        <v>136</v>
      </c>
      <c r="B1" s="372"/>
      <c r="C1" s="372"/>
      <c r="D1" s="372"/>
      <c r="E1" s="372"/>
      <c r="F1" s="80"/>
      <c r="G1" s="80"/>
      <c r="H1" s="80"/>
      <c r="I1" s="80"/>
      <c r="J1" s="80"/>
      <c r="K1" s="80"/>
      <c r="L1" s="80"/>
      <c r="M1" s="80"/>
      <c r="N1" s="80"/>
      <c r="O1" s="80"/>
      <c r="P1" s="80"/>
      <c r="Q1" s="80"/>
      <c r="R1" s="80"/>
      <c r="S1" s="80"/>
      <c r="T1" s="81"/>
      <c r="U1" s="80"/>
    </row>
    <row r="2" spans="1:21" x14ac:dyDescent="0.25">
      <c r="A2" s="12"/>
      <c r="B2" s="12"/>
      <c r="C2" s="12"/>
      <c r="D2" s="12"/>
      <c r="E2" s="104"/>
      <c r="F2" s="12"/>
    </row>
    <row r="3" spans="1:21" ht="15.75" x14ac:dyDescent="0.25">
      <c r="A3" s="12"/>
      <c r="B3" s="36" t="s">
        <v>155</v>
      </c>
      <c r="C3" s="12"/>
      <c r="D3" s="12"/>
      <c r="E3" s="104"/>
      <c r="F3" s="12"/>
    </row>
    <row r="4" spans="1:21" x14ac:dyDescent="0.25">
      <c r="A4" s="12"/>
      <c r="B4" s="12"/>
      <c r="C4" s="12"/>
      <c r="D4" s="12"/>
      <c r="E4" s="104"/>
      <c r="F4" s="12"/>
    </row>
    <row r="5" spans="1:21" ht="15.75" x14ac:dyDescent="0.25">
      <c r="A5" s="12"/>
      <c r="B5" s="39" t="s">
        <v>1298</v>
      </c>
      <c r="C5" s="12"/>
      <c r="D5" s="12"/>
      <c r="E5" s="12"/>
      <c r="F5" s="12"/>
    </row>
    <row r="6" spans="1:21" ht="15.75" thickBot="1" x14ac:dyDescent="0.3">
      <c r="A6" s="12"/>
      <c r="B6" s="12"/>
      <c r="C6" s="12"/>
      <c r="D6" s="12"/>
      <c r="E6" s="12"/>
      <c r="F6" s="12"/>
    </row>
    <row r="7" spans="1:21" x14ac:dyDescent="0.25">
      <c r="A7" s="12"/>
      <c r="B7" s="107" t="s">
        <v>143</v>
      </c>
      <c r="C7" s="373"/>
      <c r="D7" s="373"/>
      <c r="E7" s="374"/>
      <c r="F7" s="12"/>
    </row>
    <row r="8" spans="1:21" x14ac:dyDescent="0.25">
      <c r="A8" s="12"/>
      <c r="B8" s="113"/>
      <c r="C8" s="106" t="s">
        <v>132</v>
      </c>
      <c r="D8" s="106" t="s">
        <v>8</v>
      </c>
      <c r="E8" s="109" t="s">
        <v>147</v>
      </c>
      <c r="F8" s="12"/>
    </row>
    <row r="9" spans="1:21" x14ac:dyDescent="0.25">
      <c r="A9" s="12"/>
      <c r="B9" s="108" t="s">
        <v>137</v>
      </c>
      <c r="C9" s="117"/>
      <c r="D9" s="106" t="s">
        <v>142</v>
      </c>
      <c r="E9" s="228"/>
      <c r="F9" s="12"/>
    </row>
    <row r="10" spans="1:21" x14ac:dyDescent="0.25">
      <c r="A10" s="12"/>
      <c r="B10" s="108" t="s">
        <v>138</v>
      </c>
      <c r="C10" s="117"/>
      <c r="D10" s="106" t="s">
        <v>142</v>
      </c>
      <c r="E10" s="228"/>
      <c r="F10" s="12"/>
    </row>
    <row r="11" spans="1:21" x14ac:dyDescent="0.25">
      <c r="A11" s="12"/>
      <c r="B11" s="108" t="s">
        <v>1297</v>
      </c>
      <c r="C11" s="117"/>
      <c r="D11" s="106" t="s">
        <v>142</v>
      </c>
      <c r="E11" s="228"/>
      <c r="F11" s="12"/>
    </row>
    <row r="12" spans="1:21" ht="15.75" thickBot="1" x14ac:dyDescent="0.3">
      <c r="A12" s="12"/>
      <c r="B12" s="110" t="s">
        <v>144</v>
      </c>
      <c r="C12" s="123" t="e">
        <f>AVERAGE(C9:C11)</f>
        <v>#DIV/0!</v>
      </c>
      <c r="D12" s="111" t="s">
        <v>142</v>
      </c>
      <c r="E12" s="112" t="s">
        <v>158</v>
      </c>
      <c r="F12" s="12"/>
    </row>
    <row r="13" spans="1:21" x14ac:dyDescent="0.25">
      <c r="A13" s="12"/>
      <c r="B13" s="12"/>
      <c r="C13" s="12"/>
      <c r="D13" s="12"/>
      <c r="E13" s="12"/>
      <c r="F13" s="12"/>
    </row>
    <row r="14" spans="1:21" ht="15.75" thickBot="1" x14ac:dyDescent="0.3">
      <c r="A14" s="12"/>
      <c r="B14" s="12"/>
      <c r="C14" s="12"/>
      <c r="D14" s="12"/>
      <c r="E14" s="12"/>
      <c r="F14" s="12"/>
    </row>
    <row r="15" spans="1:21" x14ac:dyDescent="0.25">
      <c r="A15" s="12"/>
      <c r="B15" s="107" t="s">
        <v>146</v>
      </c>
      <c r="C15" s="373"/>
      <c r="D15" s="373"/>
      <c r="E15" s="374"/>
      <c r="F15" s="12"/>
    </row>
    <row r="16" spans="1:21" x14ac:dyDescent="0.25">
      <c r="A16" s="12"/>
      <c r="B16" s="108"/>
      <c r="C16" s="106" t="s">
        <v>132</v>
      </c>
      <c r="D16" s="106" t="s">
        <v>8</v>
      </c>
      <c r="E16" s="109" t="s">
        <v>147</v>
      </c>
      <c r="F16" s="12"/>
    </row>
    <row r="17" spans="1:6" x14ac:dyDescent="0.25">
      <c r="A17" s="12"/>
      <c r="B17" s="108" t="s">
        <v>139</v>
      </c>
      <c r="C17" s="118"/>
      <c r="D17" s="106" t="s">
        <v>0</v>
      </c>
      <c r="E17" s="228"/>
      <c r="F17" s="12"/>
    </row>
    <row r="18" spans="1:6" x14ac:dyDescent="0.25">
      <c r="A18" s="12"/>
      <c r="B18" s="108" t="s">
        <v>140</v>
      </c>
      <c r="C18" s="118"/>
      <c r="D18" s="106" t="s">
        <v>0</v>
      </c>
      <c r="E18" s="228"/>
      <c r="F18" s="12"/>
    </row>
    <row r="19" spans="1:6" x14ac:dyDescent="0.25">
      <c r="A19" s="12"/>
      <c r="B19" s="108" t="s">
        <v>141</v>
      </c>
      <c r="C19" s="118"/>
      <c r="D19" s="106" t="s">
        <v>0</v>
      </c>
      <c r="E19" s="228"/>
      <c r="F19" s="12"/>
    </row>
    <row r="20" spans="1:6" ht="15.75" thickBot="1" x14ac:dyDescent="0.3">
      <c r="A20" s="12"/>
      <c r="B20" s="110" t="s">
        <v>145</v>
      </c>
      <c r="C20" s="124" t="e">
        <f>AVERAGE(C17:C19)</f>
        <v>#DIV/0!</v>
      </c>
      <c r="D20" s="111" t="s">
        <v>0</v>
      </c>
      <c r="E20" s="112" t="s">
        <v>158</v>
      </c>
      <c r="F20" s="12"/>
    </row>
    <row r="21" spans="1:6" x14ac:dyDescent="0.25">
      <c r="A21" s="12"/>
      <c r="B21" s="12"/>
      <c r="C21" s="12"/>
      <c r="D21" s="12"/>
      <c r="E21" s="12"/>
      <c r="F21" s="12"/>
    </row>
    <row r="22" spans="1:6" ht="15.75" x14ac:dyDescent="0.25">
      <c r="A22" s="12"/>
      <c r="B22" s="39" t="s">
        <v>1310</v>
      </c>
      <c r="C22" s="12"/>
      <c r="D22" s="12"/>
      <c r="E22" s="12"/>
      <c r="F22" s="12"/>
    </row>
    <row r="23" spans="1:6" ht="15.75" thickBot="1" x14ac:dyDescent="0.3">
      <c r="A23" s="12"/>
      <c r="B23" s="105" t="s">
        <v>74</v>
      </c>
      <c r="C23" s="12"/>
      <c r="D23" s="12"/>
      <c r="E23" s="12"/>
      <c r="F23" s="12"/>
    </row>
    <row r="24" spans="1:6" x14ac:dyDescent="0.25">
      <c r="A24" s="12"/>
      <c r="B24" s="114"/>
      <c r="C24" s="115" t="s">
        <v>132</v>
      </c>
      <c r="D24" s="115" t="s">
        <v>8</v>
      </c>
      <c r="E24" s="116" t="s">
        <v>147</v>
      </c>
      <c r="F24" s="12"/>
    </row>
    <row r="25" spans="1:6" x14ac:dyDescent="0.25">
      <c r="A25" s="12"/>
      <c r="B25" s="113" t="s">
        <v>149</v>
      </c>
      <c r="C25" s="375"/>
      <c r="D25" s="375"/>
      <c r="E25" s="376"/>
      <c r="F25" s="12"/>
    </row>
    <row r="26" spans="1:6" x14ac:dyDescent="0.25">
      <c r="A26" s="12"/>
      <c r="B26" s="108" t="s">
        <v>139</v>
      </c>
      <c r="C26" s="118"/>
      <c r="D26" s="106" t="s">
        <v>0</v>
      </c>
      <c r="E26" s="228"/>
      <c r="F26" s="12"/>
    </row>
    <row r="27" spans="1:6" x14ac:dyDescent="0.25">
      <c r="A27" s="12"/>
      <c r="B27" s="108" t="s">
        <v>140</v>
      </c>
      <c r="C27" s="118"/>
      <c r="D27" s="106" t="s">
        <v>0</v>
      </c>
      <c r="E27" s="228"/>
      <c r="F27" s="12"/>
    </row>
    <row r="28" spans="1:6" x14ac:dyDescent="0.25">
      <c r="A28" s="12"/>
      <c r="B28" s="108" t="s">
        <v>141</v>
      </c>
      <c r="C28" s="118"/>
      <c r="D28" s="106" t="s">
        <v>0</v>
      </c>
      <c r="E28" s="228"/>
      <c r="F28" s="12"/>
    </row>
    <row r="29" spans="1:6" x14ac:dyDescent="0.25">
      <c r="A29" s="12"/>
      <c r="B29" s="108" t="s">
        <v>148</v>
      </c>
      <c r="C29" s="119" t="e">
        <f>AVERAGE(C26:C28)</f>
        <v>#DIV/0!</v>
      </c>
      <c r="D29" s="106" t="s">
        <v>0</v>
      </c>
      <c r="E29" s="109"/>
      <c r="F29" s="12"/>
    </row>
    <row r="30" spans="1:6" x14ac:dyDescent="0.25">
      <c r="A30" s="12"/>
      <c r="B30" s="108" t="s">
        <v>152</v>
      </c>
      <c r="C30" s="120"/>
      <c r="D30" s="106" t="s">
        <v>153</v>
      </c>
      <c r="E30" s="228"/>
      <c r="F30" s="12"/>
    </row>
    <row r="31" spans="1:6" x14ac:dyDescent="0.25">
      <c r="A31" s="12"/>
      <c r="B31" s="113" t="s">
        <v>150</v>
      </c>
      <c r="C31" s="375"/>
      <c r="D31" s="375"/>
      <c r="E31" s="376"/>
      <c r="F31" s="12"/>
    </row>
    <row r="32" spans="1:6" x14ac:dyDescent="0.25">
      <c r="A32" s="12"/>
      <c r="B32" s="108" t="s">
        <v>139</v>
      </c>
      <c r="C32" s="118"/>
      <c r="D32" s="106" t="s">
        <v>0</v>
      </c>
      <c r="E32" s="228"/>
      <c r="F32" s="12"/>
    </row>
    <row r="33" spans="1:6" x14ac:dyDescent="0.25">
      <c r="A33" s="12"/>
      <c r="B33" s="108" t="s">
        <v>140</v>
      </c>
      <c r="C33" s="118"/>
      <c r="D33" s="106" t="s">
        <v>0</v>
      </c>
      <c r="E33" s="228"/>
      <c r="F33" s="12"/>
    </row>
    <row r="34" spans="1:6" x14ac:dyDescent="0.25">
      <c r="A34" s="12"/>
      <c r="B34" s="108" t="s">
        <v>141</v>
      </c>
      <c r="C34" s="118"/>
      <c r="D34" s="106" t="s">
        <v>0</v>
      </c>
      <c r="E34" s="228"/>
      <c r="F34" s="12"/>
    </row>
    <row r="35" spans="1:6" x14ac:dyDescent="0.25">
      <c r="A35" s="12"/>
      <c r="B35" s="108" t="s">
        <v>148</v>
      </c>
      <c r="C35" s="119" t="e">
        <f>AVERAGE(C32:C34)</f>
        <v>#DIV/0!</v>
      </c>
      <c r="D35" s="106" t="s">
        <v>0</v>
      </c>
      <c r="E35" s="109"/>
      <c r="F35" s="12"/>
    </row>
    <row r="36" spans="1:6" x14ac:dyDescent="0.25">
      <c r="A36" s="12"/>
      <c r="B36" s="108" t="s">
        <v>157</v>
      </c>
      <c r="C36" s="120"/>
      <c r="D36" s="106" t="s">
        <v>153</v>
      </c>
      <c r="E36" s="228"/>
      <c r="F36" s="12"/>
    </row>
    <row r="37" spans="1:6" x14ac:dyDescent="0.25">
      <c r="A37" s="12"/>
      <c r="B37" s="113" t="s">
        <v>151</v>
      </c>
      <c r="C37" s="369"/>
      <c r="D37" s="370"/>
      <c r="E37" s="371"/>
      <c r="F37" s="12"/>
    </row>
    <row r="38" spans="1:6" x14ac:dyDescent="0.25">
      <c r="A38" s="12"/>
      <c r="B38" s="108" t="s">
        <v>139</v>
      </c>
      <c r="C38" s="118"/>
      <c r="D38" s="106" t="s">
        <v>0</v>
      </c>
      <c r="E38" s="228"/>
      <c r="F38" s="12"/>
    </row>
    <row r="39" spans="1:6" x14ac:dyDescent="0.25">
      <c r="A39" s="12"/>
      <c r="B39" s="108" t="s">
        <v>140</v>
      </c>
      <c r="C39" s="118"/>
      <c r="D39" s="106" t="s">
        <v>0</v>
      </c>
      <c r="E39" s="228"/>
      <c r="F39" s="12"/>
    </row>
    <row r="40" spans="1:6" x14ac:dyDescent="0.25">
      <c r="A40" s="12"/>
      <c r="B40" s="108" t="s">
        <v>141</v>
      </c>
      <c r="C40" s="118"/>
      <c r="D40" s="106" t="s">
        <v>0</v>
      </c>
      <c r="E40" s="228"/>
      <c r="F40" s="12"/>
    </row>
    <row r="41" spans="1:6" x14ac:dyDescent="0.25">
      <c r="A41" s="12"/>
      <c r="B41" s="108" t="s">
        <v>148</v>
      </c>
      <c r="C41" s="119" t="e">
        <f>AVERAGE(C38:C40)</f>
        <v>#DIV/0!</v>
      </c>
      <c r="D41" s="106" t="s">
        <v>0</v>
      </c>
      <c r="E41" s="109"/>
      <c r="F41" s="12"/>
    </row>
    <row r="42" spans="1:6" x14ac:dyDescent="0.25">
      <c r="A42" s="12"/>
      <c r="B42" s="108" t="s">
        <v>152</v>
      </c>
      <c r="C42" s="120"/>
      <c r="D42" s="106" t="s">
        <v>153</v>
      </c>
      <c r="E42" s="228"/>
      <c r="F42" s="12"/>
    </row>
    <row r="43" spans="1:6" ht="15.75" thickBot="1" x14ac:dyDescent="0.3">
      <c r="A43" s="12"/>
      <c r="B43" s="110" t="s">
        <v>154</v>
      </c>
      <c r="C43" s="121" t="e">
        <f>C29*C30/100+C35*C36/100+C41*C42/100</f>
        <v>#DIV/0!</v>
      </c>
      <c r="D43" s="111" t="s">
        <v>0</v>
      </c>
      <c r="E43" s="112" t="s">
        <v>158</v>
      </c>
      <c r="F43" s="12"/>
    </row>
    <row r="44" spans="1:6" x14ac:dyDescent="0.25">
      <c r="A44" s="12"/>
      <c r="B44" s="12"/>
      <c r="C44" s="12"/>
      <c r="D44" s="12"/>
      <c r="E44" s="12"/>
      <c r="F44" s="12"/>
    </row>
  </sheetData>
  <mergeCells count="6">
    <mergeCell ref="C37:E37"/>
    <mergeCell ref="A1:E1"/>
    <mergeCell ref="C7:E7"/>
    <mergeCell ref="C15:E15"/>
    <mergeCell ref="C25:E25"/>
    <mergeCell ref="C31:E31"/>
  </mergeCells>
  <pageMargins left="0.7" right="0.7"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26</vt:i4>
      </vt:variant>
      <vt:variant>
        <vt:lpstr>Именованные диапазоны</vt:lpstr>
      </vt:variant>
      <vt:variant>
        <vt:i4>3</vt:i4>
      </vt:variant>
    </vt:vector>
  </HeadingPairs>
  <TitlesOfParts>
    <vt:vector size="29" baseType="lpstr">
      <vt:lpstr>Оглавление</vt:lpstr>
      <vt:lpstr>Шаг 1. Основные исходные данные</vt:lpstr>
      <vt:lpstr>Шаг 2. Информационные</vt:lpstr>
      <vt:lpstr>Шаг 3. Содержательные</vt:lpstr>
      <vt:lpstr>Шаг 4. Издержки простоя, НП</vt:lpstr>
      <vt:lpstr>Шаг 5. Альтернативные</vt:lpstr>
      <vt:lpstr>Dict</vt:lpstr>
      <vt:lpstr>Приложение № 1 к св. отчету</vt:lpstr>
      <vt:lpstr>Дополнительные расчеты</vt:lpstr>
      <vt:lpstr>Сводные результаты оценки</vt:lpstr>
      <vt:lpstr>Выгрузка в сводный отчет</vt:lpstr>
      <vt:lpstr>DEPR Выгрузка в сводный отчет</vt:lpstr>
      <vt:lpstr>С0.Справочник типовых оценок</vt:lpstr>
      <vt:lpstr>С1.Типовые операции</vt:lpstr>
      <vt:lpstr>С2.Средняя стоимость часа</vt:lpstr>
      <vt:lpstr>С3.Оборудование - норматив срок</vt:lpstr>
      <vt:lpstr>С4.Оборудование - цены</vt:lpstr>
      <vt:lpstr>С5.Оборудование - обслуживание</vt:lpstr>
      <vt:lpstr>С6.Работы - цена</vt:lpstr>
      <vt:lpstr>С7.Объекты - кол-во всего</vt:lpstr>
      <vt:lpstr>В1.Группы действий</vt:lpstr>
      <vt:lpstr>В2.Расчет стоимости часа</vt:lpstr>
      <vt:lpstr>В3.Группы оборудования</vt:lpstr>
      <vt:lpstr>В4.Группы работ услуг</vt:lpstr>
      <vt:lpstr>B5.Сферы объектов</vt:lpstr>
      <vt:lpstr>Шаг 2. Типы издержек</vt:lpstr>
      <vt:lpstr>'Приложение № 1 к св. отчету'!sub_21001</vt:lpstr>
      <vt:lpstr>'С1.Типовые операции'!Размещение_информации_об_организации__продукции__услугах</vt:lpstr>
      <vt:lpstr>'С1.Типовые операции'!Размещение_информации_по_пожарной_безопасности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Олег</dc:creator>
  <cp:lastModifiedBy>Сорокин Владислав Алексеевич</cp:lastModifiedBy>
  <dcterms:created xsi:type="dcterms:W3CDTF">2023-07-24T21:56:23Z</dcterms:created>
  <dcterms:modified xsi:type="dcterms:W3CDTF">2026-04-03T15:06:25Z</dcterms:modified>
</cp:coreProperties>
</file>